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Hajduszoboszlo\TESTULETI_ULESEK\KT_20221215\Eloterjesztesek\"/>
    </mc:Choice>
  </mc:AlternateContent>
  <bookViews>
    <workbookView xWindow="0" yWindow="0" windowWidth="28800" windowHeight="12300" tabRatio="951" activeTab="3"/>
  </bookViews>
  <sheets>
    <sheet name="1-Mérleg" sheetId="1" r:id="rId1"/>
    <sheet name="1a-Intézmények bevétele" sheetId="18" r:id="rId2"/>
    <sheet name="2-Helyi adóbevételek" sheetId="3" r:id="rId3"/>
    <sheet name="3-Egyéb bevételek" sheetId="42" r:id="rId4"/>
    <sheet name="4-Átvett pe." sheetId="6" r:id="rId5"/>
    <sheet name="5-Kp.-i tám." sheetId="2" r:id="rId6"/>
    <sheet name="6-Normatíva " sheetId="31" r:id="rId7"/>
    <sheet name="7-Vagyonhasznositási bevétel" sheetId="43" r:id="rId8"/>
    <sheet name="8a-Intézmények kiadása" sheetId="17" r:id="rId9"/>
    <sheet name="8c-PH-i feladatok" sheetId="44" r:id="rId10"/>
    <sheet name="8b-ÖK-i feladatok" sheetId="53" r:id="rId11"/>
    <sheet name="9-Városüzemeltetés" sheetId="10" r:id="rId12"/>
    <sheet name="10-Szociálpolitikai kiadások" sheetId="48" r:id="rId13"/>
    <sheet name="11-Pénzátadás" sheetId="14" r:id="rId14"/>
    <sheet name="12-Külön keretek" sheetId="45" r:id="rId15"/>
    <sheet name="13-Beruházások" sheetId="46" r:id="rId16"/>
    <sheet name="14-Felújítások" sheetId="37" r:id="rId17"/>
  </sheets>
  <externalReferences>
    <externalReference r:id="rId18"/>
  </externalReferences>
  <definedNames>
    <definedName name="_xlnm._FilterDatabase" localSheetId="2" hidden="1">'2-Helyi adóbevételek'!$B$1:$D$10</definedName>
    <definedName name="GDP">[1]Háttéradatok!$B$22:$AG$28</definedName>
    <definedName name="nép">[1]Háttéradatok!$C$29:$AG$32</definedName>
    <definedName name="_xlnm.Print_Area" localSheetId="2">'2-Helyi adóbevételek'!$A$1:$D$10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D13" i="14"/>
  <c r="D34" i="45" l="1"/>
  <c r="D14" i="14"/>
  <c r="L27" i="53"/>
  <c r="K8" i="10"/>
  <c r="D8" i="46"/>
  <c r="D30" i="45"/>
  <c r="K26" i="10"/>
  <c r="K33" i="10"/>
  <c r="K46" i="10"/>
  <c r="K35" i="10"/>
  <c r="K23" i="10"/>
  <c r="D6" i="48"/>
  <c r="D15" i="48"/>
  <c r="D4" i="48"/>
  <c r="D10" i="48"/>
  <c r="D14" i="48"/>
  <c r="D12" i="48"/>
  <c r="D23" i="37"/>
  <c r="D39" i="46"/>
  <c r="D38" i="46"/>
  <c r="D26" i="45"/>
  <c r="K39" i="10"/>
  <c r="K6" i="53"/>
  <c r="J6" i="53"/>
  <c r="D6" i="42"/>
  <c r="D17" i="46"/>
  <c r="D7" i="37"/>
  <c r="D6" i="37"/>
  <c r="D5" i="37"/>
  <c r="D30" i="14"/>
  <c r="D7" i="45"/>
  <c r="D20" i="37"/>
  <c r="K7" i="10"/>
  <c r="K17" i="10"/>
  <c r="D4" i="45"/>
  <c r="D9" i="42"/>
  <c r="D7" i="6"/>
  <c r="D4" i="2"/>
  <c r="G38" i="31"/>
  <c r="G37" i="31"/>
  <c r="G36" i="31"/>
  <c r="G33" i="31"/>
  <c r="G32" i="31"/>
  <c r="G29" i="31"/>
  <c r="G28" i="31"/>
  <c r="G26" i="31"/>
  <c r="G17" i="31"/>
  <c r="G19" i="31"/>
  <c r="G13" i="31"/>
  <c r="D7" i="42"/>
  <c r="D21" i="45"/>
  <c r="D10" i="45"/>
  <c r="D11" i="45"/>
  <c r="D8" i="42"/>
  <c r="D22" i="45"/>
  <c r="D6" i="2"/>
  <c r="G46" i="31"/>
  <c r="L17" i="44"/>
  <c r="L14" i="44"/>
  <c r="O14" i="44"/>
  <c r="L7" i="44"/>
  <c r="L16" i="53" l="1"/>
  <c r="D12" i="14"/>
  <c r="D4" i="37" l="1"/>
  <c r="D25" i="46" l="1"/>
  <c r="K37" i="10"/>
  <c r="K4" i="10" l="1"/>
  <c r="K32" i="10"/>
  <c r="D33" i="45" l="1"/>
  <c r="D5" i="14" l="1"/>
  <c r="D4" i="14"/>
  <c r="D12" i="46"/>
  <c r="D14" i="37"/>
  <c r="D13" i="37"/>
  <c r="K29" i="10"/>
  <c r="D23" i="46"/>
  <c r="D21" i="37"/>
  <c r="D21" i="6"/>
  <c r="D5" i="6"/>
  <c r="K41" i="10"/>
  <c r="D31" i="45"/>
  <c r="D13" i="46"/>
  <c r="D13" i="43" l="1"/>
  <c r="K12" i="44" l="1"/>
  <c r="J12" i="44"/>
  <c r="L18" i="44"/>
  <c r="L4" i="44"/>
  <c r="H15" i="18"/>
  <c r="D7" i="43"/>
  <c r="D11" i="48" l="1"/>
  <c r="J16" i="1" l="1"/>
  <c r="E16" i="1"/>
  <c r="L5" i="53"/>
  <c r="K3" i="10"/>
  <c r="L13" i="53"/>
  <c r="L28" i="53"/>
  <c r="K28" i="53"/>
  <c r="J28" i="53"/>
  <c r="D22" i="14"/>
  <c r="D15" i="45"/>
  <c r="D14" i="46"/>
  <c r="L21" i="53"/>
  <c r="L17" i="53"/>
  <c r="D32" i="45"/>
  <c r="D6" i="14"/>
  <c r="D21" i="46"/>
  <c r="D15" i="46"/>
  <c r="D19" i="45"/>
  <c r="D17" i="45"/>
  <c r="D5" i="45"/>
  <c r="D24" i="46"/>
  <c r="D30" i="46"/>
  <c r="D20" i="45"/>
  <c r="D16" i="43"/>
  <c r="D17" i="43"/>
  <c r="D24" i="45" l="1"/>
  <c r="D5" i="2"/>
  <c r="G27" i="31"/>
  <c r="K11" i="53" l="1"/>
  <c r="J11" i="53"/>
  <c r="D12" i="45"/>
  <c r="I18" i="10"/>
  <c r="J18" i="10"/>
  <c r="L26" i="53"/>
  <c r="K22" i="10"/>
  <c r="K19" i="10"/>
  <c r="K16" i="10"/>
  <c r="K51" i="10"/>
  <c r="D28" i="46"/>
  <c r="D26" i="46"/>
  <c r="D29" i="46"/>
  <c r="D8" i="37"/>
  <c r="N51" i="10" l="1"/>
  <c r="N52" i="10"/>
  <c r="N53" i="10"/>
  <c r="H51" i="10"/>
  <c r="H52" i="10"/>
  <c r="H53" i="10"/>
  <c r="Q16" i="44" l="1"/>
  <c r="Q17" i="44"/>
  <c r="Q18" i="44"/>
  <c r="L18" i="17" l="1"/>
  <c r="I5" i="53" l="1"/>
  <c r="I6" i="53"/>
  <c r="I7" i="53"/>
  <c r="I8" i="53"/>
  <c r="I9" i="53"/>
  <c r="I10" i="53"/>
  <c r="I11" i="53"/>
  <c r="I13" i="53"/>
  <c r="I14" i="53"/>
  <c r="I15" i="53"/>
  <c r="I16" i="53"/>
  <c r="I18" i="53"/>
  <c r="I19" i="53"/>
  <c r="I20" i="53"/>
  <c r="I21" i="53"/>
  <c r="I22" i="53"/>
  <c r="I23" i="53"/>
  <c r="I24" i="53"/>
  <c r="I25" i="53"/>
  <c r="I27" i="53"/>
  <c r="I28" i="53"/>
  <c r="I29" i="53"/>
  <c r="I4" i="53"/>
  <c r="I10" i="18" l="1"/>
  <c r="I24" i="18"/>
  <c r="H24" i="18"/>
  <c r="G24" i="18"/>
  <c r="H20" i="18"/>
  <c r="I20" i="18"/>
  <c r="G20" i="18"/>
  <c r="B20" i="18"/>
  <c r="I15" i="18"/>
  <c r="I14" i="18"/>
  <c r="H14" i="18"/>
  <c r="G14" i="18"/>
  <c r="H10" i="18"/>
  <c r="G10" i="18"/>
  <c r="H5" i="18"/>
  <c r="G5" i="18"/>
  <c r="C5" i="18"/>
  <c r="B5" i="18"/>
  <c r="G7" i="18"/>
  <c r="H7" i="18"/>
  <c r="I7" i="18"/>
  <c r="F14" i="31"/>
  <c r="F16" i="31" s="1"/>
  <c r="I15" i="1"/>
  <c r="D14" i="43"/>
  <c r="C17" i="43"/>
  <c r="C14" i="43"/>
  <c r="D4" i="43"/>
  <c r="C4" i="43"/>
  <c r="G23" i="17"/>
  <c r="C23" i="17"/>
  <c r="B23" i="17"/>
  <c r="G22" i="17"/>
  <c r="D22" i="17"/>
  <c r="C22" i="17"/>
  <c r="B22" i="17"/>
  <c r="G19" i="17"/>
  <c r="H15" i="17"/>
  <c r="G15" i="17"/>
  <c r="B16" i="17"/>
  <c r="G12" i="17"/>
  <c r="G9" i="17"/>
  <c r="C3" i="17"/>
  <c r="B3" i="17"/>
  <c r="L12" i="53"/>
  <c r="E26" i="53"/>
  <c r="I26" i="53" s="1"/>
  <c r="E17" i="53"/>
  <c r="I17" i="53" s="1"/>
  <c r="E12" i="53"/>
  <c r="I12" i="53" s="1"/>
  <c r="L15" i="44"/>
  <c r="J13" i="44"/>
  <c r="E15" i="44"/>
  <c r="H14" i="44"/>
  <c r="C13" i="44"/>
  <c r="D12" i="44"/>
  <c r="C12" i="44"/>
  <c r="K9" i="44"/>
  <c r="K18" i="17" s="1"/>
  <c r="J9" i="44"/>
  <c r="J18" i="17" s="1"/>
  <c r="D9" i="44"/>
  <c r="C9" i="44"/>
  <c r="K50" i="10"/>
  <c r="K42" i="10"/>
  <c r="E50" i="10"/>
  <c r="E42" i="10"/>
  <c r="D18" i="10"/>
  <c r="C18" i="10"/>
  <c r="E17" i="10"/>
  <c r="D23" i="14" l="1"/>
  <c r="C23" i="14"/>
  <c r="C13" i="14"/>
  <c r="C12" i="45"/>
  <c r="D18" i="17" l="1"/>
  <c r="B18" i="18" l="1"/>
  <c r="B17" i="18"/>
  <c r="M18" i="17" l="1"/>
  <c r="M17" i="17"/>
  <c r="D17" i="17"/>
  <c r="B18" i="17"/>
  <c r="B17" i="17"/>
  <c r="C18" i="17"/>
  <c r="C17" i="17"/>
  <c r="E47" i="31" l="1"/>
  <c r="D32" i="31"/>
  <c r="L17" i="17" l="1"/>
  <c r="K17" i="17"/>
  <c r="J17" i="17"/>
  <c r="F32" i="53"/>
  <c r="G32" i="53"/>
  <c r="E32" i="53"/>
  <c r="C32" i="53" l="1"/>
  <c r="D32" i="53"/>
  <c r="G39" i="31"/>
  <c r="G14" i="31"/>
  <c r="C10" i="2"/>
  <c r="C30" i="6"/>
  <c r="D30" i="6"/>
  <c r="C10" i="3"/>
  <c r="D5" i="1" s="1"/>
  <c r="P24" i="17"/>
  <c r="O24" i="17"/>
  <c r="N24" i="17"/>
  <c r="M24" i="17"/>
  <c r="K24" i="17"/>
  <c r="L24" i="17"/>
  <c r="J24" i="17"/>
  <c r="P20" i="17"/>
  <c r="N20" i="17"/>
  <c r="M20" i="17"/>
  <c r="K20" i="17"/>
  <c r="J20" i="17"/>
  <c r="O20" i="17"/>
  <c r="L20" i="17"/>
  <c r="P14" i="17"/>
  <c r="O14" i="17"/>
  <c r="M14" i="17"/>
  <c r="J14" i="17"/>
  <c r="L14" i="17"/>
  <c r="K14" i="17"/>
  <c r="P10" i="17"/>
  <c r="N10" i="17"/>
  <c r="M10" i="17"/>
  <c r="O10" i="17"/>
  <c r="L10" i="17"/>
  <c r="K10" i="17"/>
  <c r="J10" i="17"/>
  <c r="O7" i="17"/>
  <c r="N7" i="17"/>
  <c r="P7" i="17"/>
  <c r="M7" i="17"/>
  <c r="L7" i="17"/>
  <c r="K7" i="17"/>
  <c r="J7" i="17"/>
  <c r="P5" i="17"/>
  <c r="O5" i="17"/>
  <c r="N5" i="17"/>
  <c r="M5" i="17"/>
  <c r="K5" i="17"/>
  <c r="J5" i="17"/>
  <c r="L5" i="17"/>
  <c r="G24" i="17"/>
  <c r="F24" i="17"/>
  <c r="E24" i="17"/>
  <c r="C24" i="17"/>
  <c r="B24" i="17"/>
  <c r="D24" i="17"/>
  <c r="H20" i="17"/>
  <c r="F20" i="17"/>
  <c r="E20" i="17"/>
  <c r="G20" i="17"/>
  <c r="D20" i="17"/>
  <c r="C20" i="17"/>
  <c r="B20" i="17"/>
  <c r="D14" i="17"/>
  <c r="C14" i="17"/>
  <c r="B14" i="17"/>
  <c r="E10" i="17"/>
  <c r="D10" i="17"/>
  <c r="C10" i="17"/>
  <c r="B10" i="17"/>
  <c r="D7" i="17"/>
  <c r="C7" i="17"/>
  <c r="B7" i="17"/>
  <c r="D5" i="17"/>
  <c r="C5" i="17"/>
  <c r="B5" i="17"/>
  <c r="G23" i="31" l="1"/>
  <c r="D10" i="3"/>
  <c r="D10" i="2"/>
  <c r="G16" i="31"/>
  <c r="B10" i="18"/>
  <c r="E5" i="1" l="1"/>
  <c r="Q29" i="53"/>
  <c r="C42" i="46" l="1"/>
  <c r="D42" i="46"/>
  <c r="G53" i="31"/>
  <c r="F53" i="31"/>
  <c r="G31" i="31" l="1"/>
  <c r="F31" i="31"/>
  <c r="F39" i="31"/>
  <c r="G35" i="31" l="1"/>
  <c r="N49" i="10"/>
  <c r="N50" i="10"/>
  <c r="H48" i="10"/>
  <c r="H49" i="10"/>
  <c r="H50" i="10"/>
  <c r="D36" i="45" l="1"/>
  <c r="C36" i="45"/>
  <c r="D34" i="14" l="1"/>
  <c r="H18" i="10"/>
  <c r="N18" i="10"/>
  <c r="Q28" i="53" l="1"/>
  <c r="Q30" i="53"/>
  <c r="I30" i="53"/>
  <c r="Q27" i="53"/>
  <c r="F23" i="31" l="1"/>
  <c r="F35" i="31" s="1"/>
  <c r="D9" i="14" l="1"/>
  <c r="C9" i="14"/>
  <c r="Q25" i="17" l="1"/>
  <c r="K25" i="18" s="1"/>
  <c r="I25" i="17"/>
  <c r="F25" i="18" s="1"/>
  <c r="E25" i="18" s="1"/>
  <c r="I24" i="17" l="1"/>
  <c r="F24" i="18" s="1"/>
  <c r="E24" i="18" s="1"/>
  <c r="Q24" i="17"/>
  <c r="K24" i="18" s="1"/>
  <c r="Q11" i="44" l="1"/>
  <c r="Q12" i="44"/>
  <c r="Q13" i="44"/>
  <c r="Q14" i="44"/>
  <c r="Q15" i="44"/>
  <c r="Q7" i="44"/>
  <c r="Q8" i="44"/>
  <c r="Q9" i="44"/>
  <c r="Q5" i="44"/>
  <c r="Q4" i="44"/>
  <c r="P32" i="53"/>
  <c r="Q5" i="53"/>
  <c r="Q6" i="53"/>
  <c r="Q7" i="53"/>
  <c r="Q8" i="53"/>
  <c r="Q9" i="53"/>
  <c r="Q10" i="53"/>
  <c r="Q11" i="53"/>
  <c r="Q12" i="53"/>
  <c r="Q13" i="53"/>
  <c r="Q14" i="53"/>
  <c r="Q15" i="53"/>
  <c r="Q16" i="53"/>
  <c r="Q17" i="53"/>
  <c r="Q18" i="53"/>
  <c r="Q19" i="53"/>
  <c r="Q20" i="53"/>
  <c r="Q21" i="53"/>
  <c r="Q22" i="53"/>
  <c r="Q23" i="53"/>
  <c r="Q24" i="53"/>
  <c r="Q25" i="53"/>
  <c r="Q26" i="53"/>
  <c r="Q4" i="53"/>
  <c r="G42" i="31"/>
  <c r="C34" i="14"/>
  <c r="N48" i="10" l="1"/>
  <c r="C23" i="48" l="1"/>
  <c r="I9" i="17"/>
  <c r="N26" i="17"/>
  <c r="H26" i="17"/>
  <c r="F26" i="17"/>
  <c r="E26" i="17"/>
  <c r="D26" i="18"/>
  <c r="C26" i="18"/>
  <c r="Q23" i="17"/>
  <c r="I23" i="17"/>
  <c r="F23" i="18" s="1"/>
  <c r="E23" i="18" s="1"/>
  <c r="D31" i="43"/>
  <c r="K23" i="18" l="1"/>
  <c r="J23" i="18" s="1"/>
  <c r="J24" i="18" s="1"/>
  <c r="D23" i="48" l="1"/>
  <c r="H11" i="10"/>
  <c r="N47" i="10"/>
  <c r="H47" i="10"/>
  <c r="J7" i="1" l="1"/>
  <c r="N44" i="10" l="1"/>
  <c r="N45" i="10"/>
  <c r="N46" i="10"/>
  <c r="H44" i="10"/>
  <c r="H45" i="10"/>
  <c r="H46" i="10"/>
  <c r="H32" i="53" l="1"/>
  <c r="J32" i="53"/>
  <c r="K32" i="53"/>
  <c r="L32" i="53"/>
  <c r="M32" i="53"/>
  <c r="N32" i="53"/>
  <c r="O32" i="53"/>
  <c r="Q32" i="53" l="1"/>
  <c r="I32" i="53"/>
  <c r="I5" i="1" s="1"/>
  <c r="J5" i="1" l="1"/>
  <c r="I26" i="18" l="1"/>
  <c r="H26" i="18"/>
  <c r="H42" i="10" l="1"/>
  <c r="N11" i="10"/>
  <c r="N42" i="10" l="1"/>
  <c r="N43" i="10"/>
  <c r="H34" i="10"/>
  <c r="H35" i="10"/>
  <c r="H36" i="10"/>
  <c r="H37" i="10"/>
  <c r="H38" i="10"/>
  <c r="H39" i="10"/>
  <c r="N35" i="10"/>
  <c r="N36" i="10"/>
  <c r="N37" i="10"/>
  <c r="N38" i="10"/>
  <c r="N39" i="10"/>
  <c r="N34" i="10"/>
  <c r="I11" i="17" l="1"/>
  <c r="F11" i="18" s="1"/>
  <c r="E11" i="18" s="1"/>
  <c r="F13" i="18"/>
  <c r="E13" i="18" s="1"/>
  <c r="I17" i="17"/>
  <c r="F17" i="18" s="1"/>
  <c r="E17" i="18" s="1"/>
  <c r="Q21" i="17"/>
  <c r="K21" i="18" s="1"/>
  <c r="J21" i="18" s="1"/>
  <c r="Q20" i="17"/>
  <c r="K20" i="18" s="1"/>
  <c r="J20" i="18" s="1"/>
  <c r="Q17" i="17"/>
  <c r="K17" i="18" s="1"/>
  <c r="J17" i="18" s="1"/>
  <c r="Q13" i="17"/>
  <c r="K13" i="18" s="1"/>
  <c r="J13" i="18" s="1"/>
  <c r="Q11" i="17"/>
  <c r="K11" i="18" s="1"/>
  <c r="J11" i="18" s="1"/>
  <c r="Q10" i="17"/>
  <c r="K10" i="18" s="1"/>
  <c r="Q7" i="17"/>
  <c r="K7" i="18" s="1"/>
  <c r="J7" i="18" s="1"/>
  <c r="Q8" i="17"/>
  <c r="K8" i="18" s="1"/>
  <c r="J8" i="18" s="1"/>
  <c r="Q4" i="17"/>
  <c r="K4" i="18" s="1"/>
  <c r="Q5" i="17"/>
  <c r="K5" i="18" s="1"/>
  <c r="J5" i="18" s="1"/>
  <c r="H43" i="10" l="1"/>
  <c r="N32" i="10" l="1"/>
  <c r="N33" i="10"/>
  <c r="H32" i="10"/>
  <c r="H33" i="10"/>
  <c r="F42" i="31" l="1"/>
  <c r="F21" i="31"/>
  <c r="F43" i="31" l="1"/>
  <c r="F54" i="31" s="1"/>
  <c r="G21" i="31"/>
  <c r="G43" i="31" s="1"/>
  <c r="G54" i="31" s="1"/>
  <c r="E8" i="1" s="1"/>
  <c r="D8" i="1" l="1"/>
  <c r="I22" i="17"/>
  <c r="I21" i="17"/>
  <c r="F21" i="18" s="1"/>
  <c r="E21" i="18" s="1"/>
  <c r="I20" i="17"/>
  <c r="F20" i="18" s="1"/>
  <c r="E20" i="18" s="1"/>
  <c r="I19" i="17"/>
  <c r="F19" i="18" s="1"/>
  <c r="E19" i="18" s="1"/>
  <c r="K56" i="10"/>
  <c r="H16" i="10"/>
  <c r="I14" i="17"/>
  <c r="F14" i="18" s="1"/>
  <c r="I10" i="17"/>
  <c r="F10" i="18" s="1"/>
  <c r="E10" i="18" s="1"/>
  <c r="I8" i="17"/>
  <c r="F8" i="18" s="1"/>
  <c r="E8" i="18" s="1"/>
  <c r="I5" i="17"/>
  <c r="F5" i="18" s="1"/>
  <c r="E5" i="18" s="1"/>
  <c r="I4" i="17"/>
  <c r="I8" i="1"/>
  <c r="I14" i="1"/>
  <c r="N41" i="10"/>
  <c r="H41" i="10"/>
  <c r="N40" i="10"/>
  <c r="H40" i="10"/>
  <c r="Q22" i="17"/>
  <c r="Q19" i="17"/>
  <c r="D25" i="37"/>
  <c r="C46" i="46"/>
  <c r="C41" i="45"/>
  <c r="C56" i="10"/>
  <c r="D56" i="10"/>
  <c r="F56" i="10"/>
  <c r="G56" i="10"/>
  <c r="H5" i="10"/>
  <c r="H6" i="10"/>
  <c r="H7" i="10"/>
  <c r="H8" i="10"/>
  <c r="H9" i="10"/>
  <c r="H10" i="10"/>
  <c r="H12" i="10"/>
  <c r="H13" i="10"/>
  <c r="H14" i="10"/>
  <c r="H15" i="10"/>
  <c r="H17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4" i="10"/>
  <c r="H3" i="10"/>
  <c r="D41" i="45"/>
  <c r="D13" i="6"/>
  <c r="C13" i="6"/>
  <c r="J14" i="1"/>
  <c r="N8" i="10"/>
  <c r="Q6" i="17"/>
  <c r="Q9" i="17"/>
  <c r="Q3" i="17"/>
  <c r="D10" i="43"/>
  <c r="I56" i="10"/>
  <c r="J56" i="10"/>
  <c r="L56" i="10"/>
  <c r="M56" i="10"/>
  <c r="D28" i="43"/>
  <c r="F9" i="18"/>
  <c r="E9" i="18" s="1"/>
  <c r="D46" i="46"/>
  <c r="N3" i="10"/>
  <c r="N30" i="10"/>
  <c r="N26" i="10"/>
  <c r="N27" i="10"/>
  <c r="N28" i="10"/>
  <c r="N29" i="10"/>
  <c r="N31" i="10"/>
  <c r="E14" i="1"/>
  <c r="E15" i="1"/>
  <c r="C10" i="43"/>
  <c r="D7" i="1"/>
  <c r="C28" i="43"/>
  <c r="C31" i="43"/>
  <c r="D14" i="1" s="1"/>
  <c r="D15" i="1"/>
  <c r="N17" i="10"/>
  <c r="N25" i="10"/>
  <c r="N12" i="10"/>
  <c r="N23" i="10"/>
  <c r="N24" i="10"/>
  <c r="N19" i="10"/>
  <c r="N20" i="10"/>
  <c r="N21" i="10"/>
  <c r="N22" i="10"/>
  <c r="N4" i="10"/>
  <c r="N5" i="10"/>
  <c r="N6" i="10"/>
  <c r="N7" i="10"/>
  <c r="N10" i="10"/>
  <c r="N13" i="10"/>
  <c r="N14" i="10"/>
  <c r="N15" i="10"/>
  <c r="I3" i="17"/>
  <c r="I6" i="17"/>
  <c r="N9" i="10"/>
  <c r="J8" i="1"/>
  <c r="I12" i="17"/>
  <c r="F12" i="18" s="1"/>
  <c r="E12" i="18" s="1"/>
  <c r="E7" i="1"/>
  <c r="I7" i="1"/>
  <c r="N16" i="10"/>
  <c r="J17" i="1" l="1"/>
  <c r="K3" i="18"/>
  <c r="J3" i="18" s="1"/>
  <c r="Q10" i="44"/>
  <c r="P20" i="44"/>
  <c r="P16" i="17" s="1"/>
  <c r="P15" i="17" s="1"/>
  <c r="F3" i="18"/>
  <c r="D13" i="1"/>
  <c r="D17" i="1" s="1"/>
  <c r="Q6" i="44"/>
  <c r="I7" i="17"/>
  <c r="F7" i="18" s="1"/>
  <c r="E7" i="18" s="1"/>
  <c r="K6" i="18"/>
  <c r="J6" i="18" s="1"/>
  <c r="K9" i="18"/>
  <c r="J9" i="18" s="1"/>
  <c r="K19" i="18"/>
  <c r="J19" i="18" s="1"/>
  <c r="K22" i="18"/>
  <c r="J22" i="18" s="1"/>
  <c r="F4" i="18"/>
  <c r="E4" i="18" s="1"/>
  <c r="G20" i="44"/>
  <c r="F22" i="18"/>
  <c r="E22" i="18" s="1"/>
  <c r="I18" i="17"/>
  <c r="F18" i="18" s="1"/>
  <c r="E18" i="18" s="1"/>
  <c r="D32" i="43"/>
  <c r="C12" i="42"/>
  <c r="D6" i="1" s="1"/>
  <c r="Q18" i="17"/>
  <c r="H20" i="44"/>
  <c r="G26" i="17" s="1"/>
  <c r="D12" i="42"/>
  <c r="E6" i="1" s="1"/>
  <c r="F6" i="18"/>
  <c r="E6" i="18" s="1"/>
  <c r="C18" i="42"/>
  <c r="C32" i="43"/>
  <c r="E13" i="1"/>
  <c r="E17" i="1" s="1"/>
  <c r="F20" i="44"/>
  <c r="N20" i="44"/>
  <c r="D20" i="44"/>
  <c r="C15" i="17" s="1"/>
  <c r="E56" i="10"/>
  <c r="N56" i="10"/>
  <c r="D18" i="42"/>
  <c r="I6" i="44"/>
  <c r="K20" i="44"/>
  <c r="K15" i="17" s="1"/>
  <c r="J20" i="44"/>
  <c r="J15" i="17" s="1"/>
  <c r="L20" i="44"/>
  <c r="L15" i="17" s="1"/>
  <c r="M20" i="44"/>
  <c r="C25" i="37"/>
  <c r="I17" i="1" s="1"/>
  <c r="C20" i="44"/>
  <c r="B15" i="17" s="1"/>
  <c r="E20" i="44"/>
  <c r="K16" i="17" l="1"/>
  <c r="K18" i="18"/>
  <c r="J18" i="18" s="1"/>
  <c r="J16" i="17"/>
  <c r="J6" i="1"/>
  <c r="G15" i="18"/>
  <c r="M15" i="17"/>
  <c r="M26" i="17" s="1"/>
  <c r="B26" i="17"/>
  <c r="D15" i="17"/>
  <c r="D26" i="17" s="1"/>
  <c r="D16" i="17"/>
  <c r="C26" i="17"/>
  <c r="C16" i="17"/>
  <c r="L16" i="17"/>
  <c r="E3" i="18"/>
  <c r="J10" i="18"/>
  <c r="C47" i="46"/>
  <c r="C21" i="42"/>
  <c r="O20" i="44"/>
  <c r="O16" i="17" s="1"/>
  <c r="O15" i="17" s="1"/>
  <c r="K26" i="17"/>
  <c r="I13" i="1"/>
  <c r="I18" i="1" s="1"/>
  <c r="D21" i="42"/>
  <c r="H56" i="10"/>
  <c r="I10" i="44"/>
  <c r="D47" i="46"/>
  <c r="J9" i="1"/>
  <c r="I9" i="1"/>
  <c r="I20" i="44"/>
  <c r="B26" i="18" l="1"/>
  <c r="B16" i="18"/>
  <c r="G26" i="18"/>
  <c r="G16" i="18"/>
  <c r="L26" i="17"/>
  <c r="I6" i="1"/>
  <c r="Q20" i="44"/>
  <c r="J26" i="17"/>
  <c r="O26" i="17"/>
  <c r="I16" i="17"/>
  <c r="I15" i="17"/>
  <c r="F15" i="18" s="1"/>
  <c r="I26" i="17"/>
  <c r="I4" i="1" s="1"/>
  <c r="E15" i="18" l="1"/>
  <c r="F16" i="18"/>
  <c r="E16" i="18" s="1"/>
  <c r="I11" i="1"/>
  <c r="E26" i="18" l="1"/>
  <c r="I19" i="1"/>
  <c r="F26" i="18" l="1"/>
  <c r="D4" i="1" s="1"/>
  <c r="D11" i="1" s="1"/>
  <c r="D19" i="1" s="1"/>
  <c r="Q16" i="17" l="1"/>
  <c r="Q15" i="17" l="1"/>
  <c r="K15" i="18" l="1"/>
  <c r="J15" i="18" l="1"/>
  <c r="K16" i="18"/>
  <c r="J16" i="18" s="1"/>
  <c r="P26" i="17" l="1"/>
  <c r="Q14" i="17"/>
  <c r="K14" i="18" s="1"/>
  <c r="J14" i="18" s="1"/>
  <c r="Q12" i="17"/>
  <c r="K12" i="18" l="1"/>
  <c r="J12" i="18" s="1"/>
  <c r="J26" i="18" s="1"/>
  <c r="K26" i="18" s="1"/>
  <c r="E4" i="1" s="1"/>
  <c r="Q26" i="17"/>
  <c r="J13" i="1"/>
  <c r="E11" i="1" l="1"/>
  <c r="E19" i="1" s="1"/>
  <c r="J18" i="1"/>
  <c r="J4" i="1"/>
  <c r="J11" i="1" l="1"/>
  <c r="J19" i="1" l="1"/>
</calcChain>
</file>

<file path=xl/sharedStrings.xml><?xml version="1.0" encoding="utf-8"?>
<sst xmlns="http://schemas.openxmlformats.org/spreadsheetml/2006/main" count="956" uniqueCount="616">
  <si>
    <t>Inert hulladéklerakó üzemeltetés</t>
  </si>
  <si>
    <t>Önkormányzati feladatok</t>
  </si>
  <si>
    <t>Szökőkutak üzemeltetése (vízdíj, áramdíj)</t>
  </si>
  <si>
    <t>Ingatlan értékesítés</t>
  </si>
  <si>
    <t>Üdülők bérleti díja</t>
  </si>
  <si>
    <t>Gyógyfürdő területhasználati díja</t>
  </si>
  <si>
    <t>Intézmények beruházásai, felújításai</t>
  </si>
  <si>
    <t xml:space="preserve">     B E V É T E L</t>
  </si>
  <si>
    <t>Saját ingatlan hasznosítása</t>
  </si>
  <si>
    <t>Gépkocsi üzemeltetés</t>
  </si>
  <si>
    <t>Informatikai üzemeltetési költség</t>
  </si>
  <si>
    <t>Köztisztviselői nap,nyugdíjas találkozó</t>
  </si>
  <si>
    <t>Hungarospa  Rt alaptőke-emelés</t>
  </si>
  <si>
    <t>Működési célra átvett pénzeszközök összesen:</t>
  </si>
  <si>
    <t>Felhalmozási célra átvett pénzeszközök összesen:</t>
  </si>
  <si>
    <t>fő</t>
  </si>
  <si>
    <t xml:space="preserve">fő </t>
  </si>
  <si>
    <t>Felhalmozási célra átadott pénzeszközök összesen</t>
  </si>
  <si>
    <t>Működési célra átadott pénzeszközök összesen:</t>
  </si>
  <si>
    <t>Bevétel mindösszesen</t>
  </si>
  <si>
    <t>Városmarketing</t>
  </si>
  <si>
    <t>5.</t>
  </si>
  <si>
    <t>Telekértékesítés,adatszolgáltatás,vagyonkataszter</t>
  </si>
  <si>
    <t>Városi kitüntetések</t>
  </si>
  <si>
    <t>Allergén növények kaszálása</t>
  </si>
  <si>
    <t>Hulladéklerakók fenntartása</t>
  </si>
  <si>
    <t>Lakáshoz jutás támog. - végleges jelleggel</t>
  </si>
  <si>
    <t>Járóbeteg-ellátó Centrum</t>
  </si>
  <si>
    <t>Tagdíjak</t>
  </si>
  <si>
    <t>3, 4.</t>
  </si>
  <si>
    <t>4.</t>
  </si>
  <si>
    <t>Külterületi utak és hidak fenntartása</t>
  </si>
  <si>
    <t>Kistérségi Szociális Szolgáltató Központ támogatása</t>
  </si>
  <si>
    <t>1/a.</t>
  </si>
  <si>
    <t>Felújítási kiadások:</t>
  </si>
  <si>
    <t>Felhalmozási kiadások:</t>
  </si>
  <si>
    <t>K I A D Á S O K</t>
  </si>
  <si>
    <t>Ssz.</t>
  </si>
  <si>
    <t>Bevételek forrásonként</t>
  </si>
  <si>
    <t>Mellék-</t>
  </si>
  <si>
    <t>Kiadások</t>
  </si>
  <si>
    <t>let sz.</t>
  </si>
  <si>
    <t>2.</t>
  </si>
  <si>
    <t>9.</t>
  </si>
  <si>
    <t xml:space="preserve">Helyi adóbevételek  </t>
  </si>
  <si>
    <t>10.</t>
  </si>
  <si>
    <t xml:space="preserve">Városüzemeltetési feladatok </t>
  </si>
  <si>
    <t>11.</t>
  </si>
  <si>
    <t xml:space="preserve">Szociálpolitikai feladatok </t>
  </si>
  <si>
    <t>12.</t>
  </si>
  <si>
    <t xml:space="preserve">Állami támogatás </t>
  </si>
  <si>
    <t>6.</t>
  </si>
  <si>
    <t>7.</t>
  </si>
  <si>
    <t>Összesen</t>
  </si>
  <si>
    <t>Lakásgazdálkodás egyéb bevétel</t>
  </si>
  <si>
    <t>Kiadások mindösszesen</t>
  </si>
  <si>
    <t>Megnevezés</t>
  </si>
  <si>
    <t>Saját</t>
  </si>
  <si>
    <t>Pénzm.</t>
  </si>
  <si>
    <t>Támog.</t>
  </si>
  <si>
    <t>Polgármesteri Hivatal</t>
  </si>
  <si>
    <t>Idegenforgalmi adó</t>
  </si>
  <si>
    <t>Állategészségügy</t>
  </si>
  <si>
    <t>Családi és társadalmi ünnepségek</t>
  </si>
  <si>
    <t>Polgári védelem</t>
  </si>
  <si>
    <t>Önkormányzati ig.tev.</t>
  </si>
  <si>
    <t>Sportház bevétele</t>
  </si>
  <si>
    <t>Személyi juttatás</t>
  </si>
  <si>
    <t>Felhalm. kiadás</t>
  </si>
  <si>
    <t>Járulékok</t>
  </si>
  <si>
    <t>Dologi kiadások</t>
  </si>
  <si>
    <t>Pénzeszk. átadás</t>
  </si>
  <si>
    <t>Ellátott. pénz.jut.</t>
  </si>
  <si>
    <t>Felúj. kiadás</t>
  </si>
  <si>
    <t>Közterület felügyelet</t>
  </si>
  <si>
    <t>Vendégellenőrök</t>
  </si>
  <si>
    <t xml:space="preserve">Fénymásolás </t>
  </si>
  <si>
    <t>Családi társ. ünnepek</t>
  </si>
  <si>
    <t>Tornacsarnok üzem.</t>
  </si>
  <si>
    <t>Felhalmozás</t>
  </si>
  <si>
    <t>Parkfenntartás</t>
  </si>
  <si>
    <t>Képviselői juttatás</t>
  </si>
  <si>
    <t>Kötelező orvosi vizsgálat</t>
  </si>
  <si>
    <t>Külön kiadások</t>
  </si>
  <si>
    <t>Kovács Máté Műv.Kp.és Könyvtár</t>
  </si>
  <si>
    <t>Környezetvédelmi Alap</t>
  </si>
  <si>
    <t>Kovács M. Műv. Kp. és Könyvtár</t>
  </si>
  <si>
    <t>Városi Televízió</t>
  </si>
  <si>
    <t>Központi ei., egyéb állami támogatás</t>
  </si>
  <si>
    <t>ÁFA befizetés</t>
  </si>
  <si>
    <t>Úszásoktatás</t>
  </si>
  <si>
    <t>Vagyonbiztosítás</t>
  </si>
  <si>
    <t>Mezőőrség</t>
  </si>
  <si>
    <t xml:space="preserve"> K I A D Á S</t>
  </si>
  <si>
    <t>K I A D Á S</t>
  </si>
  <si>
    <t>Kiskorúak térítési díj átvállalása</t>
  </si>
  <si>
    <t>Városháza takarítás</t>
  </si>
  <si>
    <t>Lakásgazdálkodási bevételei</t>
  </si>
  <si>
    <t>Körzeti építéshatóság</t>
  </si>
  <si>
    <t>Bérlakás érték.törlesztőrészlete + kamat</t>
  </si>
  <si>
    <t>Önkorm. egyéb bevét. és átvett pénzeszk.</t>
  </si>
  <si>
    <t>Agrártermelési támog. mezőőrségre</t>
  </si>
  <si>
    <t>B  E  V É  T  E  L</t>
  </si>
  <si>
    <t xml:space="preserve">   B  E  V É  T  E  L</t>
  </si>
  <si>
    <t>Ingatlan bérbeadása</t>
  </si>
  <si>
    <t>Átv.pénz</t>
  </si>
  <si>
    <t>Működési jellegűek</t>
  </si>
  <si>
    <t>Felhalmozási jellegűek</t>
  </si>
  <si>
    <t xml:space="preserve">Vagyonhasznosítási bevétel </t>
  </si>
  <si>
    <t>Iparűzési adó</t>
  </si>
  <si>
    <t>Szoftverhasználati díjak</t>
  </si>
  <si>
    <t>Vízrendezés belvízmentesítés</t>
  </si>
  <si>
    <t>Köztisztaság síktalanítás</t>
  </si>
  <si>
    <t>Karácsonyi-szilveszteri díszkivilágítás</t>
  </si>
  <si>
    <t>Vagyonhasználati díj /víz/</t>
  </si>
  <si>
    <t>Vagyonhasználati díj /csatorna/</t>
  </si>
  <si>
    <t>Vagyonhasználati díj /távhő/</t>
  </si>
  <si>
    <t>Polgármesteri Hivatal ig.tev.</t>
  </si>
  <si>
    <t>Felhalmozási célra átvett pénzeszközök</t>
  </si>
  <si>
    <t>Építményadó</t>
  </si>
  <si>
    <t>Önállóan gazdálkodó intézmények kiadásai</t>
  </si>
  <si>
    <t>Önkormányzati egyéb bevételek</t>
  </si>
  <si>
    <t>Önkormányzati egyéb bevételek összesen</t>
  </si>
  <si>
    <t>Polgármesteri Hivatal egyéb bevételek</t>
  </si>
  <si>
    <t>Polgármesteri Hivatal egyéb bevételek összesen</t>
  </si>
  <si>
    <t>Polgármesteri Hivatal működési bevételek</t>
  </si>
  <si>
    <t>Polgármesteri Hivatal működési bevételek összesen</t>
  </si>
  <si>
    <t>Önkormányzati felhalmozási bevételek</t>
  </si>
  <si>
    <t>Önkormányzati felhalmozási bevételek összesen</t>
  </si>
  <si>
    <t>Lakásgazdálkodási bevételei összesen</t>
  </si>
  <si>
    <t>Polgármesteri Hivatal feladatai</t>
  </si>
  <si>
    <t>Polgármesteri Hivatal feladatai összesen</t>
  </si>
  <si>
    <t>Önkormányzati feladatok összesen</t>
  </si>
  <si>
    <t>Polgármesteri Hivatal kiadásai:</t>
  </si>
  <si>
    <t>Önkormányzati feladatok összesen:</t>
  </si>
  <si>
    <t>Polgármesteri Hivatal feladatai összesen:</t>
  </si>
  <si>
    <t>Felhalmozás mindösszesen:</t>
  </si>
  <si>
    <t>Önkormányzati felújítások összesen:</t>
  </si>
  <si>
    <t>Vagyonhasználati díj /sportpálya/</t>
  </si>
  <si>
    <t xml:space="preserve">          Önkormányzat összesen:</t>
  </si>
  <si>
    <t>Sportpálya fenntartás rezsiköltségei</t>
  </si>
  <si>
    <t>Egyéb (virágcsokor, postaktg stb.)</t>
  </si>
  <si>
    <t>Zöldterület gazdálkodás</t>
  </si>
  <si>
    <t>Közvilágítás fenntartása</t>
  </si>
  <si>
    <t xml:space="preserve">Köztemető fenntartása </t>
  </si>
  <si>
    <t>Közutak fenntartása</t>
  </si>
  <si>
    <t>Lakosságszám</t>
  </si>
  <si>
    <t>Óvodapedagógusok bértámogatása</t>
  </si>
  <si>
    <t xml:space="preserve">Óvodaműködtetés tám. </t>
  </si>
  <si>
    <t xml:space="preserve">Könyvtár közművelődés </t>
  </si>
  <si>
    <t>Közvilágítás /átvett utakkal együtt/</t>
  </si>
  <si>
    <t>Utcabútorok karbantartása</t>
  </si>
  <si>
    <t>Jelzőlámpák üzemeltetése</t>
  </si>
  <si>
    <t>Beiskolázási támogatás</t>
  </si>
  <si>
    <t>Adóigazgatási feladatok</t>
  </si>
  <si>
    <t>Illegális hulladéklerakók felszámolása</t>
  </si>
  <si>
    <t xml:space="preserve">Pénzmadványt terhelő kifizetés </t>
  </si>
  <si>
    <t xml:space="preserve">Hajdúszoboszlói Rendőrkapitányság támogatása </t>
  </si>
  <si>
    <t>Építés és településfejlesztés</t>
  </si>
  <si>
    <t>Belterület utak fenntartása</t>
  </si>
  <si>
    <t>Polgárőrség támogatása</t>
  </si>
  <si>
    <t>Kilátási háromszögek biztosítása</t>
  </si>
  <si>
    <t>Hozzájárulás a pénzbeli szoc. ellátásokhoz</t>
  </si>
  <si>
    <t xml:space="preserve">Egyes szociális és gyermekjóléti fel. támogatása </t>
  </si>
  <si>
    <t>Lakott külterület támogatása</t>
  </si>
  <si>
    <t>Időskorúak nappali int. ellátása</t>
  </si>
  <si>
    <t>Babaköszöntő csomag</t>
  </si>
  <si>
    <t>Bursa Hungarica felsőoktatási ösztöndíj</t>
  </si>
  <si>
    <t>Csapadékvíz elvezető rendszer karbantartása</t>
  </si>
  <si>
    <t>Óvodapedagógusok nevelő munkát segítők tám.</t>
  </si>
  <si>
    <t>Szociális étkezés</t>
  </si>
  <si>
    <t>Városi sportpálya fenntartása</t>
  </si>
  <si>
    <t>Külön keretek</t>
  </si>
  <si>
    <t xml:space="preserve">           - Önként vállalt </t>
  </si>
  <si>
    <t xml:space="preserve">Ebből: - Kötelező </t>
  </si>
  <si>
    <t xml:space="preserve">           - Államigazgatási </t>
  </si>
  <si>
    <t>Bocskai István Múzeum (Önként vállalt feladat)</t>
  </si>
  <si>
    <t xml:space="preserve">            - Önként vállalt </t>
  </si>
  <si>
    <t xml:space="preserve">            - Államigazgatási</t>
  </si>
  <si>
    <t>Önkormányzati intézmények bevételei</t>
  </si>
  <si>
    <t>Egyéb kiadások (átadott pénzeszközök)</t>
  </si>
  <si>
    <t>Sorszám</t>
  </si>
  <si>
    <t>Közterület használati díj</t>
  </si>
  <si>
    <t>Vagyonhasznosítási bevétel mindösszesen</t>
  </si>
  <si>
    <t>Szúnyog- és rágcsálóirtás, növényvédelem</t>
  </si>
  <si>
    <t>HÉSZ készítése főépítészi feladatokkal</t>
  </si>
  <si>
    <t>Útcsere-Állami tulajdonú utak fenntartása</t>
  </si>
  <si>
    <t xml:space="preserve">TDM támogatása + Tourinform </t>
  </si>
  <si>
    <t>Kistérségi társulás támogatása/tagdíj+közfoglalkoztatás szervező/</t>
  </si>
  <si>
    <t>Pszichiátriai nappali ellátás működéséhez</t>
  </si>
  <si>
    <t>Háziorvos minimum feltétel biztosítása</t>
  </si>
  <si>
    <t>Intézményfelújítások</t>
  </si>
  <si>
    <t>1/H.</t>
  </si>
  <si>
    <t>2/H.</t>
  </si>
  <si>
    <t>3/H.</t>
  </si>
  <si>
    <t>4/H.</t>
  </si>
  <si>
    <t>1/ÖK</t>
  </si>
  <si>
    <t>2/ÖK</t>
  </si>
  <si>
    <t>3/ÖK</t>
  </si>
  <si>
    <t>4/ÖK</t>
  </si>
  <si>
    <t>1/M</t>
  </si>
  <si>
    <t>2/M</t>
  </si>
  <si>
    <t>3/M</t>
  </si>
  <si>
    <t>4/M</t>
  </si>
  <si>
    <t>1/F</t>
  </si>
  <si>
    <t>2/F</t>
  </si>
  <si>
    <t>1/PH</t>
  </si>
  <si>
    <t>2/PH</t>
  </si>
  <si>
    <t>3/PH</t>
  </si>
  <si>
    <t>4/PH</t>
  </si>
  <si>
    <t>5/PH</t>
  </si>
  <si>
    <t>6/PH</t>
  </si>
  <si>
    <t>7/PH</t>
  </si>
  <si>
    <t>5/ÖK</t>
  </si>
  <si>
    <t>6/ÖK</t>
  </si>
  <si>
    <t>7/ÖK</t>
  </si>
  <si>
    <t>1/LA</t>
  </si>
  <si>
    <t>8/ÖK</t>
  </si>
  <si>
    <t>9/ÖK</t>
  </si>
  <si>
    <t>10/ÖK</t>
  </si>
  <si>
    <t>11/ÖK</t>
  </si>
  <si>
    <t>12/ÖK</t>
  </si>
  <si>
    <t>13/ÖK</t>
  </si>
  <si>
    <t>14/ÖK</t>
  </si>
  <si>
    <t>15/ÖK</t>
  </si>
  <si>
    <t>16/ÖK</t>
  </si>
  <si>
    <t>17/ÖK</t>
  </si>
  <si>
    <t>18/ÖK</t>
  </si>
  <si>
    <t>19/ÖK</t>
  </si>
  <si>
    <t>20/ÖK</t>
  </si>
  <si>
    <t>21/ÖK</t>
  </si>
  <si>
    <t>8/PH</t>
  </si>
  <si>
    <t>9/PH</t>
  </si>
  <si>
    <t>10/PH</t>
  </si>
  <si>
    <t>11/PH</t>
  </si>
  <si>
    <t>12/PH</t>
  </si>
  <si>
    <t>22/ÖK</t>
  </si>
  <si>
    <t>23/ÖK</t>
  </si>
  <si>
    <t>24/ÖK</t>
  </si>
  <si>
    <t>25/ÖK</t>
  </si>
  <si>
    <t>26/ÖK</t>
  </si>
  <si>
    <t>27/ÖK</t>
  </si>
  <si>
    <t>28/ÖK</t>
  </si>
  <si>
    <t>29/ÖK</t>
  </si>
  <si>
    <t>30/ÖK</t>
  </si>
  <si>
    <t>31/ÖK</t>
  </si>
  <si>
    <t>32/ÖK</t>
  </si>
  <si>
    <t>33/ÖK</t>
  </si>
  <si>
    <t>34/ÖK</t>
  </si>
  <si>
    <t>35/ÖK</t>
  </si>
  <si>
    <t>36/ÖK</t>
  </si>
  <si>
    <t>37/ÖK</t>
  </si>
  <si>
    <t>38/ÖK</t>
  </si>
  <si>
    <t>40/ÖK</t>
  </si>
  <si>
    <t>5/M</t>
  </si>
  <si>
    <t>6/M</t>
  </si>
  <si>
    <t>7/M</t>
  </si>
  <si>
    <t>8/M</t>
  </si>
  <si>
    <t>9/M</t>
  </si>
  <si>
    <t>Mennyiségi egység</t>
  </si>
  <si>
    <t>Önkormányzati hivatal működési támogatása</t>
  </si>
  <si>
    <t xml:space="preserve">Egyéb kötelező önk. feladatok </t>
  </si>
  <si>
    <t>Helyi önkormányzatok működési támogatása összesen:</t>
  </si>
  <si>
    <t>Kieg.tám. az óvodapedag. minősitési többletkiadásaihoz</t>
  </si>
  <si>
    <t>fö</t>
  </si>
  <si>
    <t>Egyes köznevelési feladatok támogatása összesen:</t>
  </si>
  <si>
    <t>Elismert dolgozók bértámogatása</t>
  </si>
  <si>
    <t>Üzemeltetési támogatás</t>
  </si>
  <si>
    <t>Szociális és gyermekjóléti feladatok támogatása összesen:</t>
  </si>
  <si>
    <t>Kulturális feladatok támogatása összesen:</t>
  </si>
  <si>
    <t>Térfigyelő kamerák üzemeltetése</t>
  </si>
  <si>
    <t>Öntözőrendszerek üzemeltetése</t>
  </si>
  <si>
    <t>Civil szervezetek és intézmények támogatása</t>
  </si>
  <si>
    <t>41/ÖK</t>
  </si>
  <si>
    <t>42/ÖK</t>
  </si>
  <si>
    <t>43/ÖK</t>
  </si>
  <si>
    <t>44/ÖK</t>
  </si>
  <si>
    <t>45/ÖK</t>
  </si>
  <si>
    <t>46/ÖK</t>
  </si>
  <si>
    <t>47/ÖK</t>
  </si>
  <si>
    <t>Önkormányzati ingatlanok kaszálása,allergén növény kíírtása, siktalanítás</t>
  </si>
  <si>
    <t>Harangház üzemeltetés, karbantartás</t>
  </si>
  <si>
    <t>Zárt csapadékvízrendszer gépi tisztítása /woma/</t>
  </si>
  <si>
    <t>Óvodás gyermekek vízhez szokatás program /rászorultsági alapon/</t>
  </si>
  <si>
    <t>Hajdúszoboszlói Egyesített Óvoda</t>
  </si>
  <si>
    <t>Műfüves sportpálya üzemeltetése</t>
  </si>
  <si>
    <t>Sportpálya közüzemi díj bevételei</t>
  </si>
  <si>
    <t>Rendszeres települési gyógyszertámogatások</t>
  </si>
  <si>
    <t>Rendszeres települési lakhatási támogatás</t>
  </si>
  <si>
    <t>Rendkivüli települési támogatás</t>
  </si>
  <si>
    <t>Gondozási szüks.kieg.támogatás</t>
  </si>
  <si>
    <t>Testvérvárosi kapcsolatok</t>
  </si>
  <si>
    <t>Kényszerkaszálás közterületen</t>
  </si>
  <si>
    <t>Lapkiadás</t>
  </si>
  <si>
    <t>Helyi utak kátyúzása</t>
  </si>
  <si>
    <t>Megszűnt viziközmű társulat kiadásai</t>
  </si>
  <si>
    <t>Továbbszámlázott szolgáltatások</t>
  </si>
  <si>
    <t>Egyházak támogatása</t>
  </si>
  <si>
    <t>Lakott külterületi utak karbantartása</t>
  </si>
  <si>
    <t>Szociális és gyermekjóléti központ</t>
  </si>
  <si>
    <t>Rászoruló gyerekek szünidei étkeztetésére</t>
  </si>
  <si>
    <t>Támogató szolgáltatás</t>
  </si>
  <si>
    <t>Nem közművel összegyűjtött háztartási szennyvíz ártalm.</t>
  </si>
  <si>
    <t>10/M</t>
  </si>
  <si>
    <t>Hajdúszoboszlói Kistérségi Többcélú Társulás támogatása</t>
  </si>
  <si>
    <t>Egyéb működési kiadás</t>
  </si>
  <si>
    <t>Szünidei  gyermekétkeztetés</t>
  </si>
  <si>
    <t>Krízistüzifa</t>
  </si>
  <si>
    <t>Krízisszálló üzemeltetése</t>
  </si>
  <si>
    <t>Hajdúszoboszlói Gyermeksziget Bölcsőde</t>
  </si>
  <si>
    <t>Energetikai szakértés+energetikai stratégia</t>
  </si>
  <si>
    <t>Hajdúszoboszlói Gazdasági Szolgáltató Intézmény</t>
  </si>
  <si>
    <t>Átadott pénzeszközök</t>
  </si>
  <si>
    <t>3/F</t>
  </si>
  <si>
    <t xml:space="preserve">Beruházások, felújítások </t>
  </si>
  <si>
    <t>Alapítványok támogatása</t>
  </si>
  <si>
    <t>11/M</t>
  </si>
  <si>
    <t>12/M</t>
  </si>
  <si>
    <t>Közterületek felújítása</t>
  </si>
  <si>
    <t>13/M</t>
  </si>
  <si>
    <t>01/ÖK</t>
  </si>
  <si>
    <t>02/ÖK</t>
  </si>
  <si>
    <t>03/ÖK</t>
  </si>
  <si>
    <t>04/ÖK</t>
  </si>
  <si>
    <t>05/ÖK</t>
  </si>
  <si>
    <t>06/ÖK</t>
  </si>
  <si>
    <t>07/ÖK</t>
  </si>
  <si>
    <t>08/ÖK</t>
  </si>
  <si>
    <t>09/ÖK</t>
  </si>
  <si>
    <t>Iskola egészségügy támogatása</t>
  </si>
  <si>
    <t>Pénzmaradv.igénybevétele /előző évi/</t>
  </si>
  <si>
    <t>4/F</t>
  </si>
  <si>
    <t>5/F</t>
  </si>
  <si>
    <t>Db-i Agglomeráció Hulladékgazdálkodási Társulás működésére</t>
  </si>
  <si>
    <t>Felújítás</t>
  </si>
  <si>
    <t>Buszos emlőszűrés, iskolaegészségügy kiadásai</t>
  </si>
  <si>
    <t>Rendkivüli települési támogatás -temetési támogatás-</t>
  </si>
  <si>
    <t>Iker,többes iker gyermekek születésekor pénzbeli, gondozásának természetbeni támogatása</t>
  </si>
  <si>
    <t xml:space="preserve">               -Önként vállalt</t>
  </si>
  <si>
    <t xml:space="preserve"> Ebből: - Kötelező </t>
  </si>
  <si>
    <t>Bölcsödei dolgozók bértámogatása</t>
  </si>
  <si>
    <t>Bölcsőde üzemeltetésre</t>
  </si>
  <si>
    <t>Szociális és gyermekjóléti szolgálat</t>
  </si>
  <si>
    <t>Házi segítségnyújtás - szociális segítés</t>
  </si>
  <si>
    <t>Házi segítségnyújtás - személyi gondozás</t>
  </si>
  <si>
    <t>hó</t>
  </si>
  <si>
    <t>48/ÖK</t>
  </si>
  <si>
    <t>Kiemelt turisztikai fejlesztési pályázat (GINOP-7.1.9-17)</t>
  </si>
  <si>
    <t>Tartalék, pályázati tartalékok</t>
  </si>
  <si>
    <t>Pótlék, bírság</t>
  </si>
  <si>
    <t>KEF működése</t>
  </si>
  <si>
    <t>Ivóvíz közműberuházás</t>
  </si>
  <si>
    <t>Szennyvíz közműberuházás</t>
  </si>
  <si>
    <t>TDM támogatása forgalomélénkítő imázs-kampányra</t>
  </si>
  <si>
    <t>Városképi szempontból meghatározó társasházak felújítására</t>
  </si>
  <si>
    <t>6/F</t>
  </si>
  <si>
    <t>49/ÖK</t>
  </si>
  <si>
    <t>15/M</t>
  </si>
  <si>
    <t>16/M</t>
  </si>
  <si>
    <t>Közmunkára és diákmunkára</t>
  </si>
  <si>
    <t>"Hajdúszoboszló gyógyhely komplex turisztikai fejlesztése" pályázat (GINOP-7.1.9-17)</t>
  </si>
  <si>
    <t>Helyi Építészeti-Műszaki Tervtanács</t>
  </si>
  <si>
    <t>Bölcsőde bővítése pályázat</t>
  </si>
  <si>
    <t>Energetikai támogatás önálló lakóingatlanokhoz</t>
  </si>
  <si>
    <t>Köztemetés</t>
  </si>
  <si>
    <t>Vállalkozásfejlesztési csoport</t>
  </si>
  <si>
    <t xml:space="preserve">ASP üzemeltetése </t>
  </si>
  <si>
    <t>Igazgatási kiadások /bankköltség, postaköltség/</t>
  </si>
  <si>
    <t>Szabadidő park üzemeltetése</t>
  </si>
  <si>
    <t>Környezetvédelmi program felülvizsgálata /2021-2025/</t>
  </si>
  <si>
    <t>Szennyvíz közmű felújítás</t>
  </si>
  <si>
    <t>Mutatványos tér bérleti díja</t>
  </si>
  <si>
    <t>Külterületi utak fejlesztése pályázat</t>
  </si>
  <si>
    <t>VP6-7.2.1-7.4.1.2-16 pályázat külterületi utakra</t>
  </si>
  <si>
    <t>Köznevelési Alap /oktatási alapítványok támogatása/</t>
  </si>
  <si>
    <t>Szent István park őrzése</t>
  </si>
  <si>
    <t>Menetrend szerinti helyi autóbusz közlekedés</t>
  </si>
  <si>
    <t>Villamosenergia csatlakozási kiépítése</t>
  </si>
  <si>
    <t>Térfigyelő kamerák</t>
  </si>
  <si>
    <t>WiFi4 EU rendszer üzemeltetése</t>
  </si>
  <si>
    <t>7/F</t>
  </si>
  <si>
    <t>39/ÖK</t>
  </si>
  <si>
    <t>50/ÖK</t>
  </si>
  <si>
    <t>Állam általi megelőlegezés (közmunkára)</t>
  </si>
  <si>
    <t>1.1.1.1.</t>
  </si>
  <si>
    <t>1.1.1.2.</t>
  </si>
  <si>
    <t>1.1.1.4.</t>
  </si>
  <si>
    <t>1.1.1.3.</t>
  </si>
  <si>
    <t>1.1.1.5.</t>
  </si>
  <si>
    <t>1.1.1.7.</t>
  </si>
  <si>
    <t>1.1.1.6.</t>
  </si>
  <si>
    <t>1.5.2.</t>
  </si>
  <si>
    <t>1.4.1.1.</t>
  </si>
  <si>
    <t>1.4.1.2.</t>
  </si>
  <si>
    <t>1.4.2.</t>
  </si>
  <si>
    <t>1.3.3.2.</t>
  </si>
  <si>
    <t>1.3.3.1.</t>
  </si>
  <si>
    <t>1.3.1.</t>
  </si>
  <si>
    <t>1.3.2.</t>
  </si>
  <si>
    <t>1.3.2.2.</t>
  </si>
  <si>
    <t>1.3.2.1.</t>
  </si>
  <si>
    <t>1.3.2.3.</t>
  </si>
  <si>
    <t>1.3.2.4.1</t>
  </si>
  <si>
    <t>1.3.2.4.3</t>
  </si>
  <si>
    <t>1.3.2.6.</t>
  </si>
  <si>
    <t>1.3.2.14.</t>
  </si>
  <si>
    <t>1.1.</t>
  </si>
  <si>
    <t>1.2.</t>
  </si>
  <si>
    <t>1.3.</t>
  </si>
  <si>
    <t>1.4.</t>
  </si>
  <si>
    <t>Gyermekétkeztetési feladatok támogatása összesen</t>
  </si>
  <si>
    <t>1.5.</t>
  </si>
  <si>
    <t>42.5.5.</t>
  </si>
  <si>
    <t>Működési és ágazati támogatások összesen:</t>
  </si>
  <si>
    <t>1.1.2.</t>
  </si>
  <si>
    <t>Összes állami támogatás</t>
  </si>
  <si>
    <t>Bölcsőde támogatása</t>
  </si>
  <si>
    <t>1.3.3.</t>
  </si>
  <si>
    <t>Kiegészítő támogatások:</t>
  </si>
  <si>
    <t>Működési és ágazati támogatások:</t>
  </si>
  <si>
    <t>Kiegészítő támogatások összesen:</t>
  </si>
  <si>
    <t>Szociális ágazati összevont pótlék</t>
  </si>
  <si>
    <t>2.2.2.</t>
  </si>
  <si>
    <t>2.3.2.3.</t>
  </si>
  <si>
    <t>2.3.2.4.</t>
  </si>
  <si>
    <t>Könyvtári célú érdekeltségnövelő támogatás</t>
  </si>
  <si>
    <t>2.2.3.</t>
  </si>
  <si>
    <t>Óvodai és iskolai szociális segítő tevékenység</t>
  </si>
  <si>
    <t>Muzeális intézményi feladatok működési támogatása</t>
  </si>
  <si>
    <t>HSE támogatása</t>
  </si>
  <si>
    <t>Koronavírus-járvány elleni védekezésre</t>
  </si>
  <si>
    <t>Kádár u. útburkolat és csapadékvíz fejlesztése pályázat</t>
  </si>
  <si>
    <t>Nem közművel összegyűjtött háztart. szennyvíz ártalmatlanítása</t>
  </si>
  <si>
    <t>1.2.2.1</t>
  </si>
  <si>
    <t>Ügyfélszolgálat</t>
  </si>
  <si>
    <t>Járóbeteg-ellátó Centrum laborvizsgálatok többletkiadásaira</t>
  </si>
  <si>
    <t>Bölcsőde bővítése pályázat (TOP-1.4.1-19)</t>
  </si>
  <si>
    <t>Termőföld bérleti díj</t>
  </si>
  <si>
    <t>Méltányossági kisajátítás</t>
  </si>
  <si>
    <t>Utasvárók City light reklámfelület bérleti díj</t>
  </si>
  <si>
    <t>Árusító pavilonok karbantartása</t>
  </si>
  <si>
    <t>ÁFA visszaigénylés (új konferenciaközpont)</t>
  </si>
  <si>
    <t>Gazdátlan galambok befogása</t>
  </si>
  <si>
    <t>Szakértőkre, belső ellenőrzésre</t>
  </si>
  <si>
    <t>Egyéb áramdíjak + szabadtéri szinpad is</t>
  </si>
  <si>
    <t>Játszóterek karbantartása (skate pálya, streetball pálya, kondipark)+ kötelező éves felülvizsgálat</t>
  </si>
  <si>
    <t>Nyilvános illemhely üzemeltetés Szabadtéri Szinpadnál, szabadidőpark és Szent István parkban</t>
  </si>
  <si>
    <t>Előző évi intézményi elvonások</t>
  </si>
  <si>
    <t>Szökőkutak karbantartása, úszó szökőkút</t>
  </si>
  <si>
    <t>Zászlókihelyezés, pótlás</t>
  </si>
  <si>
    <t>1a/M</t>
  </si>
  <si>
    <t>Fedett buszvárók üzemeltetése /Publimont KFT/</t>
  </si>
  <si>
    <t>Közterületi járda felújításra támogatás lakosság részére</t>
  </si>
  <si>
    <t>1/K</t>
  </si>
  <si>
    <t>Aeroklub működési támogatása</t>
  </si>
  <si>
    <t>14/M</t>
  </si>
  <si>
    <t xml:space="preserve">Kulturális, sport és turisztikai pályázati alap </t>
  </si>
  <si>
    <t>Fásítás</t>
  </si>
  <si>
    <t>8/b.</t>
  </si>
  <si>
    <t>8/a,8/c</t>
  </si>
  <si>
    <t>8/a.8/c</t>
  </si>
  <si>
    <t>Új rendezvényközpont Hajdúszoboszlón pályázat (előkészítés, tervek)</t>
  </si>
  <si>
    <t>TOP-5.2.1 pályázat szoftos elemekre</t>
  </si>
  <si>
    <t>Városi Csapadékvíz hálózat fejlesztése (TOP-2.1.3-16)</t>
  </si>
  <si>
    <t>TOP-4.3.1 pályázatra</t>
  </si>
  <si>
    <t>Közműfejlesztési hozzájárulás + LTP lejáratok</t>
  </si>
  <si>
    <t>8/F</t>
  </si>
  <si>
    <t>Városüzemeltetés összesen:</t>
  </si>
  <si>
    <t>1.3.4.1.</t>
  </si>
  <si>
    <t>Helyettes szülői hálózat támogatása</t>
  </si>
  <si>
    <t>Szolidaritási hozzájárulás (tájékoztató adat, kiadások közöttt szerepel):</t>
  </si>
  <si>
    <t>Thermál előtti pavilon bérleti díja</t>
  </si>
  <si>
    <t>Szolidaritási hozzájárulás</t>
  </si>
  <si>
    <t>Kerékpárutak fenntartása /kaszálás, síkosságmentesítés/</t>
  </si>
  <si>
    <t>Műjégpálya áramdíj és helyi értékek háza üzemeltetése</t>
  </si>
  <si>
    <t>51/ÖK</t>
  </si>
  <si>
    <t>17/M</t>
  </si>
  <si>
    <t>Szabó L. Alapfokú Művészeti Iskola támogatása</t>
  </si>
  <si>
    <t>Szociális pályázat (TOP-5.2.1-15)(2020. évi  maradvány)</t>
  </si>
  <si>
    <t>Magyar Szürkék Útja pályázat</t>
  </si>
  <si>
    <t>Szociális pályázat - leromlott városi területek rehabilitációja (TOP-4.3.1-16)</t>
  </si>
  <si>
    <t>Márton-zug szennyvízelvezető rendszer bővítése + Bocskai zug ivóvízvezeték építés, kivitelezés</t>
  </si>
  <si>
    <t>Harsányi és Korpos utcák felújítása</t>
  </si>
  <si>
    <t>Mutató 2022.év</t>
  </si>
  <si>
    <t>Mutató 2021.év</t>
  </si>
  <si>
    <t>m3</t>
  </si>
  <si>
    <t>tanuló</t>
  </si>
  <si>
    <t>Tour deHongrie támogatása</t>
  </si>
  <si>
    <t>Kisállat-ivartalanítási programra</t>
  </si>
  <si>
    <t>Illegális hulladéklerakók felszámolása (pályázat)</t>
  </si>
  <si>
    <t>Repülőtér hasznosítása (földalapú támogatás)</t>
  </si>
  <si>
    <t>Aktív Magyarország program - bringapark pályázat - pumpapálya</t>
  </si>
  <si>
    <t>VP Leader pályázat</t>
  </si>
  <si>
    <t>TOP PLUSZ _Belterületi utak felújítása</t>
  </si>
  <si>
    <t>Kisvonat-megálló terveztetése</t>
  </si>
  <si>
    <t>2 db szobor vásárlása</t>
  </si>
  <si>
    <t>Magyar Biodiverzitás-kutató Társaság támogatása</t>
  </si>
  <si>
    <t>Bölcsőde konyha fejlesztése</t>
  </si>
  <si>
    <t>LEADER-pályázat -  külterületi kerékpárút karbantartógép beszerzése</t>
  </si>
  <si>
    <t xml:space="preserve">"Országos Bringa Program" pályázat </t>
  </si>
  <si>
    <t xml:space="preserve">Repülőtéren tűzcsap létesítése </t>
  </si>
  <si>
    <t>Vásártér sor csapadék csatorna felújítási terve</t>
  </si>
  <si>
    <t>1.2.3.1.1.</t>
  </si>
  <si>
    <t>1.2.1.1</t>
  </si>
  <si>
    <t>1.2.5.1.1</t>
  </si>
  <si>
    <t>Mező utca  ÖNERŐ</t>
  </si>
  <si>
    <t>Csokonai utcai csapadékvíz elvezető nyílt burkolt árok felújítása páros oldal</t>
  </si>
  <si>
    <t>Egyirányú forgalmú utakon ellenirányú kerékpáros közlekedés forgalomtechnikai tervdokumentációja</t>
  </si>
  <si>
    <t>Környezetközpontú irányitás (ISO 14001)</t>
  </si>
  <si>
    <t>Városmonográfia előkészítésére</t>
  </si>
  <si>
    <t>TOP PLUSZ Turisztikai Projekt</t>
  </si>
  <si>
    <t>Szociális nappali ellátások (szenvedélybeteg, fogyatékos betegek, hajléktalanok nappali ellátása és kríziszálló) kialakításának költségei</t>
  </si>
  <si>
    <t>Tervek, hatósági engedélyeztetések</t>
  </si>
  <si>
    <t>Zöldtudatos támogatás lakosság részére - komposztáló edényzet és zsák beszerzés</t>
  </si>
  <si>
    <t>Közterületi falevél és gallyak elszállítása (lakosságtól is)</t>
  </si>
  <si>
    <t>Faállomány gondozása</t>
  </si>
  <si>
    <t>18/M</t>
  </si>
  <si>
    <t>19/M</t>
  </si>
  <si>
    <t>Vitézi Rend HB.megyei Törzskapitányság támogatása</t>
  </si>
  <si>
    <t>Keleti Főcsat. Nádudvari szakasz útjavítás anyagköltsége</t>
  </si>
  <si>
    <t>Daru zug parkolók</t>
  </si>
  <si>
    <t>2022 er.ei</t>
  </si>
  <si>
    <t>2022 mód.ei</t>
  </si>
  <si>
    <t>2022 évi eredeti előirányzat</t>
  </si>
  <si>
    <t>2022 évi módosított előirányzat</t>
  </si>
  <si>
    <t>2022. évi támogatási előirányzat</t>
  </si>
  <si>
    <t>2022. évi módosított előirányzat</t>
  </si>
  <si>
    <t>2022 er.ei.</t>
  </si>
  <si>
    <t>2022 mód.ei.</t>
  </si>
  <si>
    <t>13/PH</t>
  </si>
  <si>
    <t>14/PH</t>
  </si>
  <si>
    <t>Országgyűlési választások 2022</t>
  </si>
  <si>
    <t>Népszámlálás</t>
  </si>
  <si>
    <t>2/K</t>
  </si>
  <si>
    <t>9/F</t>
  </si>
  <si>
    <t>Fapótlásra befizetések</t>
  </si>
  <si>
    <t>Város Bálja bevételek</t>
  </si>
  <si>
    <t>"Szoboszlói Nyár" támogatása</t>
  </si>
  <si>
    <t>3/K</t>
  </si>
  <si>
    <t>Ukrán menekültek támogatása</t>
  </si>
  <si>
    <t>Testvérvárosi kapcsolatokra támogatások (Bethlen Alaptól)</t>
  </si>
  <si>
    <t>Lengyel partnervárosi kapcsolat ápolására (Waclaw Felczak Alapítványtól)</t>
  </si>
  <si>
    <t>Állami támogatás megelőlegezése</t>
  </si>
  <si>
    <t>Oktatáspolitikai célfeladat</t>
  </si>
  <si>
    <t>Harangház oszlopainak felújítása (pénzmaradvány)</t>
  </si>
  <si>
    <t>Hulladékszállítás támogatása (lakossági)</t>
  </si>
  <si>
    <t>Város bálja kiadásai</t>
  </si>
  <si>
    <t>Fedett buszvárók felújítása, áthelyezése, megállók felújítása (pénzmaradvány)</t>
  </si>
  <si>
    <t>Sport u. komlett rekonstrukciós terve, kivitelezés I ütem (pénzmaradvány)</t>
  </si>
  <si>
    <t>2021-2027. uniós pályázati ciklushoz kapcsolódó fejlesztési</t>
  </si>
  <si>
    <t>Városi csapadékvíz hálózat fejlesztése pályázat (TOP-2.1.3)</t>
  </si>
  <si>
    <t>Mesevár Óvoda melegítő konyha felújítása (pénzmaradvány)</t>
  </si>
  <si>
    <t>Tantermi előadások támogatása pályázat</t>
  </si>
  <si>
    <t>TOP pályázatok tanulmányterveire</t>
  </si>
  <si>
    <t>Dicső-Est 2022. pályázat</t>
  </si>
  <si>
    <t>Együttműködés Révvel pályázat</t>
  </si>
  <si>
    <t>Waclaw Felczak Alapítványi pályázat</t>
  </si>
  <si>
    <t>Pótlólagos állami támogatás 2020-2021 évek</t>
  </si>
  <si>
    <t>Könyvtárfejlesztési támogatás</t>
  </si>
  <si>
    <t>Zöld klímáért pályázat</t>
  </si>
  <si>
    <t>HÉSZ módosítására bevétel</t>
  </si>
  <si>
    <t>Polgármesteri Kabinetiroda</t>
  </si>
  <si>
    <t>2a/ÖK</t>
  </si>
  <si>
    <t>Víziközmű működtető eszközök megvásárlása</t>
  </si>
  <si>
    <t>Óvodák felújítási tervei (pénzmaradvány)</t>
  </si>
  <si>
    <t>Városi karbantartásra, kisjavításokra</t>
  </si>
  <si>
    <t>TOP Plusz épületek energia korszrűsítése pályázat</t>
  </si>
  <si>
    <t>Erzsébet u. gyalogoshíd felújítása</t>
  </si>
  <si>
    <t>20/M</t>
  </si>
  <si>
    <t>Innovatív vízgazdálkodási módszerek gyakorlati alkalmazásai pályázat</t>
  </si>
  <si>
    <t>Fásítási Alap</t>
  </si>
  <si>
    <t>Debreceni u. - Tessedik u. csomópont közvilágítás kiépítése</t>
  </si>
  <si>
    <t>Gyalogátkelő helyek terveztetése</t>
  </si>
  <si>
    <t>Traffibox kiépítése</t>
  </si>
  <si>
    <t>15/PH</t>
  </si>
  <si>
    <t>Közvilágítási földkábel kiépítése</t>
  </si>
  <si>
    <t>Szoboszlói Nyár programsorozat pályázata (2021-2023)</t>
  </si>
  <si>
    <t>10/F</t>
  </si>
  <si>
    <t>Ukrajnai menekültek ellátása</t>
  </si>
  <si>
    <t>Közfoglalkoztatás, diákfoglalkoztatás</t>
  </si>
  <si>
    <t>3a/ÖK</t>
  </si>
  <si>
    <t>Tehetséges gyermekek támogatása alap</t>
  </si>
  <si>
    <t>Ivóvíz közmű felújítása</t>
  </si>
  <si>
    <t>21/M</t>
  </si>
  <si>
    <t>Háttér Szakápolási Bt támogatása</t>
  </si>
  <si>
    <t>Kuvasz dűlő közvilágítási terve</t>
  </si>
  <si>
    <t>Óvodákba légkondicionáló berendezések beszerzése</t>
  </si>
  <si>
    <t>Energia díjak emelkedésére elkülönített keret</t>
  </si>
  <si>
    <t>Kossuth u. 10., Deák F. u. 3. bérleti jogok megváltása</t>
  </si>
  <si>
    <t>Idősek napi köszöntésre</t>
  </si>
  <si>
    <t>4/K</t>
  </si>
  <si>
    <t>5a/ÖK</t>
  </si>
  <si>
    <t>Víz-csatorna eszközök bérleti díja</t>
  </si>
  <si>
    <t>Intézményi energia számlák</t>
  </si>
  <si>
    <t>Kiskorúak élelmiszer és tisztasági csomagja</t>
  </si>
  <si>
    <t>Kályhaprogram</t>
  </si>
  <si>
    <t>Új rendezvényközpont Hajdúszoboszlón pályázat visszafizetés</t>
  </si>
  <si>
    <t>13a/ÖK</t>
  </si>
  <si>
    <t>Iparűzési adó kompenzálása (2021, 2022)</t>
  </si>
  <si>
    <t>Gasztrotér bérleti díja</t>
  </si>
  <si>
    <t>11/F</t>
  </si>
  <si>
    <t>12/F</t>
  </si>
  <si>
    <t>13/F</t>
  </si>
  <si>
    <t>14/F</t>
  </si>
  <si>
    <t>TOP-Plusz-2.1.1-21 energetikai korszerűsítés pályázat</t>
  </si>
  <si>
    <t>TOP-Plusz-3.3.1-21-0009 Lurkó Óvoda építés korszerűsítése pályázat</t>
  </si>
  <si>
    <t>TOP-Plusz-3.3.1-21-00045 Okosmegoldások és a Hóvirág u. infrastr. pályázat</t>
  </si>
  <si>
    <t>TOP-Plusz-3.3.1-21-00046 Szilfákalja-Bányász u. közti park rekonstr. pályázat</t>
  </si>
  <si>
    <t>TOP-Plusz-3.3.1-21-00048 Gáláng pálya zöld infrastr. pályázat</t>
  </si>
  <si>
    <t>TOP-Plusz-3.3.1-21-00048 Gáláng pálya zöld infrastruktúra fejl. pályázat</t>
  </si>
  <si>
    <t>TOP PLUSZ-3.3.1-21-0009 pályázat_Lurkó Óvoda felújítása</t>
  </si>
  <si>
    <t>Aranykapu Óvoda bekötőút felújítása</t>
  </si>
  <si>
    <t>Szilfákalja 20. alatti társasház konténer helyenek kialakítása</t>
  </si>
  <si>
    <t>5b/ÖK</t>
  </si>
  <si>
    <t>Kiemelt sírok gondozása és temetői utak karbantartása</t>
  </si>
  <si>
    <t>HBVSZ ZRT előző évi tartozások kompenzálása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</si>
</sst>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7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indexed="18"/>
      <name val="MS Sans Serif"/>
      <family val="2"/>
      <charset val="238"/>
    </font>
    <font>
      <b/>
      <sz val="10"/>
      <color indexed="18"/>
      <name val="MS Sans Serif"/>
      <family val="2"/>
      <charset val="238"/>
    </font>
    <font>
      <b/>
      <sz val="12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0"/>
      <color indexed="8"/>
      <name val="Times New Roman CE"/>
      <charset val="238"/>
    </font>
    <font>
      <b/>
      <sz val="16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name val="Times New Roman CE"/>
      <family val="1"/>
      <charset val="238"/>
    </font>
    <font>
      <sz val="10"/>
      <name val="MS Sans Serif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color indexed="8"/>
      <name val="Times New Roman CE"/>
      <family val="1"/>
      <charset val="238"/>
    </font>
    <font>
      <sz val="12"/>
      <name val="Arial CE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MS Sans Serif"/>
      <family val="2"/>
      <charset val="238"/>
    </font>
    <font>
      <b/>
      <i/>
      <sz val="10"/>
      <color indexed="10"/>
      <name val="Times New Roman"/>
      <family val="1"/>
      <charset val="238"/>
    </font>
    <font>
      <b/>
      <sz val="10"/>
      <color indexed="8"/>
      <name val="Times New Roman CE"/>
      <charset val="238"/>
    </font>
    <font>
      <sz val="10"/>
      <name val="MS Sans Serif"/>
      <family val="2"/>
      <charset val="238"/>
    </font>
    <font>
      <b/>
      <sz val="8"/>
      <name val="Times New Roman CE"/>
      <family val="1"/>
      <charset val="238"/>
    </font>
    <font>
      <b/>
      <sz val="12"/>
      <name val="Times New Roman CE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b/>
      <sz val="11"/>
      <color indexed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1"/>
      <name val="MS Sans Serif"/>
      <family val="2"/>
      <charset val="238"/>
    </font>
    <font>
      <sz val="11"/>
      <color indexed="8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name val="Times New Roman CE"/>
      <charset val="238"/>
    </font>
    <font>
      <sz val="10"/>
      <name val="MS Sans Serif"/>
      <charset val="238"/>
    </font>
    <font>
      <sz val="12"/>
      <name val="Times New Roman CE"/>
      <family val="1"/>
      <charset val="238"/>
    </font>
    <font>
      <sz val="12"/>
      <name val="MS Sans Serif"/>
      <charset val="238"/>
    </font>
    <font>
      <b/>
      <sz val="12"/>
      <name val="MS Sans Serif"/>
      <family val="2"/>
      <charset val="238"/>
    </font>
    <font>
      <b/>
      <sz val="10"/>
      <color indexed="1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rgb="FF0000FF"/>
      <name val="Times New Roman CE"/>
      <charset val="238"/>
    </font>
    <font>
      <b/>
      <sz val="8"/>
      <name val="Times New Roman"/>
      <family val="1"/>
      <charset val="238"/>
    </font>
    <font>
      <b/>
      <sz val="8"/>
      <name val="MS Sans Serif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8"/>
      <color indexed="8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338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double">
        <color indexed="64"/>
      </right>
      <top style="medium">
        <color indexed="8"/>
      </top>
      <bottom/>
      <diagonal/>
    </border>
    <border>
      <left style="medium">
        <color indexed="8"/>
      </left>
      <right style="double">
        <color indexed="64"/>
      </right>
      <top style="thin">
        <color indexed="8"/>
      </top>
      <bottom/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double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4" fillId="0" borderId="1">
      <alignment vertical="center"/>
    </xf>
    <xf numFmtId="1" fontId="9" fillId="2" borderId="2" applyFill="0">
      <alignment vertical="center"/>
    </xf>
    <xf numFmtId="0" fontId="4" fillId="0" borderId="1">
      <alignment vertical="center"/>
    </xf>
    <xf numFmtId="1" fontId="8" fillId="0" borderId="2">
      <alignment vertical="center"/>
      <protection locked="0"/>
    </xf>
    <xf numFmtId="0" fontId="5" fillId="0" borderId="3" applyNumberFormat="0" applyFont="0" applyFill="0" applyAlignment="0">
      <alignment horizontal="center"/>
    </xf>
    <xf numFmtId="0" fontId="24" fillId="0" borderId="0"/>
    <xf numFmtId="0" fontId="4" fillId="0" borderId="0"/>
    <xf numFmtId="10" fontId="8" fillId="0" borderId="2">
      <alignment vertical="center"/>
    </xf>
    <xf numFmtId="0" fontId="8" fillId="0" borderId="2" applyNumberFormat="0" applyFill="0">
      <alignment vertical="center"/>
    </xf>
    <xf numFmtId="0" fontId="7" fillId="0" borderId="2" applyNumberFormat="0" applyFill="0">
      <alignment horizontal="left" vertical="center"/>
    </xf>
    <xf numFmtId="0" fontId="17" fillId="0" borderId="2" applyNumberFormat="0" applyFill="0">
      <alignment horizontal="left" vertical="center"/>
    </xf>
    <xf numFmtId="0" fontId="8" fillId="0" borderId="2">
      <alignment horizontal="left" vertical="center" wrapText="1"/>
    </xf>
    <xf numFmtId="0" fontId="7" fillId="0" borderId="1">
      <alignment horizontal="center" vertical="center" textRotation="90" wrapText="1"/>
    </xf>
    <xf numFmtId="0" fontId="11" fillId="0" borderId="2" applyNumberFormat="0" applyFill="0">
      <alignment horizontal="center" vertical="center"/>
    </xf>
    <xf numFmtId="0" fontId="7" fillId="0" borderId="2" applyNumberFormat="0" applyFill="0">
      <alignment horizontal="center" vertical="center"/>
    </xf>
    <xf numFmtId="0" fontId="15" fillId="0" borderId="2" applyNumberFormat="0">
      <alignment horizontal="center" vertical="center" textRotation="90" wrapText="1"/>
    </xf>
    <xf numFmtId="164" fontId="8" fillId="3" borderId="2" applyFill="0">
      <alignment vertical="center"/>
      <protection locked="0"/>
    </xf>
    <xf numFmtId="164" fontId="8" fillId="0" borderId="2">
      <alignment vertical="center"/>
    </xf>
    <xf numFmtId="0" fontId="7" fillId="0" borderId="0" applyNumberFormat="0" applyFont="0" applyFill="0" applyAlignment="0">
      <alignment horizontal="left" vertical="center"/>
    </xf>
    <xf numFmtId="0" fontId="7" fillId="0" borderId="2" applyNumberFormat="0" applyFont="0" applyFill="0" applyAlignment="0">
      <alignment horizontal="left" vertical="center"/>
    </xf>
    <xf numFmtId="0" fontId="1" fillId="0" borderId="0"/>
    <xf numFmtId="0" fontId="45" fillId="0" borderId="0"/>
    <xf numFmtId="0" fontId="7" fillId="0" borderId="73" applyNumberFormat="0" applyFill="0">
      <alignment horizontal="center" vertical="center"/>
    </xf>
    <xf numFmtId="0" fontId="8" fillId="0" borderId="73" applyNumberFormat="0" applyFill="0">
      <alignment vertical="center"/>
    </xf>
    <xf numFmtId="0" fontId="7" fillId="0" borderId="89" applyNumberFormat="0" applyFill="0">
      <alignment horizontal="center" vertical="center"/>
    </xf>
    <xf numFmtId="0" fontId="8" fillId="0" borderId="89" applyNumberFormat="0" applyFill="0">
      <alignment vertical="center"/>
    </xf>
  </cellStyleXfs>
  <cellXfs count="666">
    <xf numFmtId="0" fontId="0" fillId="0" borderId="0" xfId="0"/>
    <xf numFmtId="0" fontId="2" fillId="0" borderId="0" xfId="0" applyFont="1"/>
    <xf numFmtId="0" fontId="3" fillId="0" borderId="0" xfId="0" applyFont="1"/>
    <xf numFmtId="3" fontId="14" fillId="0" borderId="6" xfId="2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3" fontId="12" fillId="0" borderId="0" xfId="6" applyNumberFormat="1" applyFont="1" applyAlignment="1">
      <alignment vertical="center"/>
    </xf>
    <xf numFmtId="3" fontId="26" fillId="0" borderId="0" xfId="6" applyNumberFormat="1" applyFont="1" applyAlignment="1">
      <alignment vertical="center"/>
    </xf>
    <xf numFmtId="3" fontId="29" fillId="0" borderId="0" xfId="6" applyNumberFormat="1" applyFont="1" applyAlignment="1">
      <alignment vertical="center"/>
    </xf>
    <xf numFmtId="3" fontId="12" fillId="0" borderId="0" xfId="6" applyNumberFormat="1" applyFont="1" applyAlignment="1">
      <alignment horizontal="center" vertical="center"/>
    </xf>
    <xf numFmtId="3" fontId="31" fillId="0" borderId="0" xfId="6" applyNumberFormat="1" applyFont="1" applyAlignment="1">
      <alignment vertical="center"/>
    </xf>
    <xf numFmtId="3" fontId="9" fillId="0" borderId="9" xfId="2" applyNumberFormat="1" applyFill="1" applyBorder="1">
      <alignment vertical="center"/>
    </xf>
    <xf numFmtId="3" fontId="26" fillId="0" borderId="0" xfId="6" applyNumberFormat="1" applyFont="1" applyAlignment="1">
      <alignment horizontal="center" vertical="center"/>
    </xf>
    <xf numFmtId="3" fontId="12" fillId="0" borderId="0" xfId="6" applyNumberFormat="1" applyFont="1" applyAlignment="1">
      <alignment horizontal="right" vertical="center"/>
    </xf>
    <xf numFmtId="3" fontId="0" fillId="0" borderId="0" xfId="0" applyNumberFormat="1"/>
    <xf numFmtId="0" fontId="4" fillId="0" borderId="0" xfId="7"/>
    <xf numFmtId="0" fontId="2" fillId="0" borderId="0" xfId="7" applyFont="1"/>
    <xf numFmtId="3" fontId="14" fillId="0" borderId="11" xfId="2" applyNumberFormat="1" applyFont="1" applyFill="1" applyBorder="1">
      <alignment vertical="center"/>
    </xf>
    <xf numFmtId="3" fontId="14" fillId="0" borderId="16" xfId="2" applyNumberFormat="1" applyFont="1" applyFill="1" applyBorder="1">
      <alignment vertical="center"/>
    </xf>
    <xf numFmtId="0" fontId="33" fillId="0" borderId="0" xfId="0" applyFont="1"/>
    <xf numFmtId="0" fontId="9" fillId="0" borderId="22" xfId="15" applyFont="1" applyFill="1" applyBorder="1" applyAlignment="1">
      <alignment horizontal="left" vertical="center"/>
    </xf>
    <xf numFmtId="3" fontId="14" fillId="0" borderId="23" xfId="2" applyNumberFormat="1" applyFont="1" applyFill="1" applyBorder="1">
      <alignment vertical="center"/>
    </xf>
    <xf numFmtId="0" fontId="34" fillId="0" borderId="27" xfId="1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3" fillId="0" borderId="22" xfId="15" applyFont="1" applyFill="1" applyBorder="1">
      <alignment horizontal="center" vertical="center"/>
    </xf>
    <xf numFmtId="0" fontId="9" fillId="0" borderId="29" xfId="9" applyFont="1" applyFill="1" applyBorder="1" applyAlignment="1">
      <alignment horizontal="center" vertical="center"/>
    </xf>
    <xf numFmtId="0" fontId="14" fillId="0" borderId="30" xfId="14" applyFont="1" applyFill="1" applyBorder="1">
      <alignment horizontal="center" vertical="center"/>
    </xf>
    <xf numFmtId="0" fontId="13" fillId="0" borderId="9" xfId="10" applyFont="1" applyFill="1" applyBorder="1">
      <alignment horizontal="left" vertical="center"/>
    </xf>
    <xf numFmtId="0" fontId="9" fillId="0" borderId="31" xfId="9" applyFont="1" applyFill="1" applyBorder="1" applyAlignment="1">
      <alignment horizontal="center" vertical="center"/>
    </xf>
    <xf numFmtId="0" fontId="14" fillId="0" borderId="32" xfId="14" applyFont="1" applyFill="1" applyBorder="1">
      <alignment horizontal="center" vertical="center"/>
    </xf>
    <xf numFmtId="0" fontId="13" fillId="0" borderId="33" xfId="15" applyFont="1" applyFill="1" applyBorder="1" applyAlignment="1">
      <alignment horizontal="left" vertical="center"/>
    </xf>
    <xf numFmtId="0" fontId="13" fillId="0" borderId="31" xfId="15" applyFont="1" applyFill="1" applyBorder="1">
      <alignment horizontal="center" vertical="center"/>
    </xf>
    <xf numFmtId="0" fontId="14" fillId="0" borderId="20" xfId="14" applyFont="1" applyFill="1" applyBorder="1">
      <alignment horizontal="center" vertical="center"/>
    </xf>
    <xf numFmtId="0" fontId="9" fillId="0" borderId="22" xfId="9" applyFont="1" applyFill="1" applyBorder="1">
      <alignment vertical="center"/>
    </xf>
    <xf numFmtId="16" fontId="9" fillId="0" borderId="34" xfId="15" applyNumberFormat="1" applyFont="1" applyFill="1" applyBorder="1">
      <alignment horizontal="center" vertical="center"/>
    </xf>
    <xf numFmtId="0" fontId="14" fillId="0" borderId="0" xfId="14" applyFont="1" applyFill="1" applyBorder="1">
      <alignment horizontal="center" vertical="center"/>
    </xf>
    <xf numFmtId="0" fontId="35" fillId="0" borderId="22" xfId="9" applyFont="1" applyFill="1" applyBorder="1" applyAlignment="1">
      <alignment horizontal="center" vertical="center"/>
    </xf>
    <xf numFmtId="0" fontId="27" fillId="0" borderId="35" xfId="9" applyFont="1" applyFill="1" applyBorder="1">
      <alignment vertical="center"/>
    </xf>
    <xf numFmtId="0" fontId="14" fillId="0" borderId="36" xfId="14" applyFont="1" applyFill="1" applyBorder="1">
      <alignment horizontal="center" vertical="center"/>
    </xf>
    <xf numFmtId="0" fontId="14" fillId="0" borderId="37" xfId="14" applyFont="1" applyFill="1" applyBorder="1">
      <alignment horizontal="center" vertical="center"/>
    </xf>
    <xf numFmtId="0" fontId="13" fillId="0" borderId="38" xfId="15" applyFont="1" applyFill="1" applyBorder="1">
      <alignment horizontal="center" vertical="center"/>
    </xf>
    <xf numFmtId="0" fontId="13" fillId="0" borderId="39" xfId="15" applyFont="1" applyFill="1" applyBorder="1">
      <alignment horizontal="center" vertical="center"/>
    </xf>
    <xf numFmtId="3" fontId="11" fillId="0" borderId="41" xfId="4" applyNumberFormat="1" applyFont="1" applyBorder="1">
      <alignment vertical="center"/>
      <protection locked="0"/>
    </xf>
    <xf numFmtId="0" fontId="33" fillId="0" borderId="0" xfId="7" applyFont="1"/>
    <xf numFmtId="0" fontId="36" fillId="0" borderId="0" xfId="7" applyFont="1"/>
    <xf numFmtId="3" fontId="8" fillId="0" borderId="42" xfId="4" applyNumberFormat="1" applyBorder="1">
      <alignment vertical="center"/>
      <protection locked="0"/>
    </xf>
    <xf numFmtId="3" fontId="8" fillId="0" borderId="43" xfId="4" applyNumberFormat="1" applyBorder="1">
      <alignment vertical="center"/>
      <protection locked="0"/>
    </xf>
    <xf numFmtId="3" fontId="11" fillId="0" borderId="44" xfId="4" applyNumberFormat="1" applyFont="1" applyBorder="1">
      <alignment vertical="center"/>
      <protection locked="0"/>
    </xf>
    <xf numFmtId="3" fontId="11" fillId="0" borderId="5" xfId="4" applyNumberFormat="1" applyFont="1" applyBorder="1">
      <alignment vertical="center"/>
      <protection locked="0"/>
    </xf>
    <xf numFmtId="0" fontId="37" fillId="0" borderId="0" xfId="0" applyFont="1"/>
    <xf numFmtId="0" fontId="12" fillId="0" borderId="0" xfId="0" applyFont="1"/>
    <xf numFmtId="3" fontId="14" fillId="0" borderId="45" xfId="2" applyNumberFormat="1" applyFont="1" applyFill="1" applyBorder="1">
      <alignment vertical="center"/>
    </xf>
    <xf numFmtId="3" fontId="14" fillId="0" borderId="46" xfId="2" applyNumberFormat="1" applyFont="1" applyFill="1" applyBorder="1">
      <alignment vertical="center"/>
    </xf>
    <xf numFmtId="3" fontId="14" fillId="0" borderId="38" xfId="2" applyNumberFormat="1" applyFont="1" applyFill="1" applyBorder="1">
      <alignment vertical="center"/>
    </xf>
    <xf numFmtId="0" fontId="7" fillId="0" borderId="19" xfId="15" applyFill="1" applyBorder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8" fillId="0" borderId="17" xfId="9" applyFill="1" applyBorder="1">
      <alignment vertical="center"/>
    </xf>
    <xf numFmtId="0" fontId="16" fillId="0" borderId="17" xfId="9" applyFont="1" applyFill="1" applyBorder="1">
      <alignment vertical="center"/>
    </xf>
    <xf numFmtId="0" fontId="26" fillId="0" borderId="0" xfId="7" applyFont="1" applyAlignment="1">
      <alignment horizontal="center" vertical="center"/>
    </xf>
    <xf numFmtId="0" fontId="7" fillId="0" borderId="52" xfId="15" applyFill="1" applyBorder="1">
      <alignment horizontal="center" vertical="center"/>
    </xf>
    <xf numFmtId="3" fontId="8" fillId="0" borderId="53" xfId="4" applyNumberFormat="1" applyBorder="1">
      <alignment vertical="center"/>
      <protection locked="0"/>
    </xf>
    <xf numFmtId="3" fontId="22" fillId="0" borderId="0" xfId="6" applyNumberFormat="1" applyFont="1" applyAlignment="1">
      <alignment vertical="center"/>
    </xf>
    <xf numFmtId="3" fontId="33" fillId="0" borderId="0" xfId="0" applyNumberFormat="1" applyFont="1"/>
    <xf numFmtId="0" fontId="7" fillId="0" borderId="47" xfId="15" applyFill="1" applyBorder="1">
      <alignment horizontal="center" vertical="center"/>
    </xf>
    <xf numFmtId="0" fontId="47" fillId="0" borderId="0" xfId="0" applyFont="1"/>
    <xf numFmtId="0" fontId="48" fillId="0" borderId="0" xfId="0" applyFont="1"/>
    <xf numFmtId="0" fontId="23" fillId="0" borderId="17" xfId="9" applyFont="1" applyFill="1" applyBorder="1">
      <alignment vertical="center"/>
    </xf>
    <xf numFmtId="0" fontId="26" fillId="0" borderId="68" xfId="0" applyFont="1" applyBorder="1" applyAlignment="1">
      <alignment horizontal="center" vertical="center"/>
    </xf>
    <xf numFmtId="0" fontId="32" fillId="0" borderId="35" xfId="9" applyFont="1" applyFill="1" applyBorder="1" applyAlignment="1"/>
    <xf numFmtId="1" fontId="12" fillId="0" borderId="0" xfId="6" applyNumberFormat="1" applyFont="1" applyAlignment="1">
      <alignment vertical="center"/>
    </xf>
    <xf numFmtId="3" fontId="49" fillId="0" borderId="0" xfId="6" applyNumberFormat="1" applyFont="1" applyAlignment="1">
      <alignment vertical="center"/>
    </xf>
    <xf numFmtId="0" fontId="41" fillId="0" borderId="0" xfId="0" applyFont="1"/>
    <xf numFmtId="3" fontId="41" fillId="0" borderId="0" xfId="0" applyNumberFormat="1" applyFont="1"/>
    <xf numFmtId="0" fontId="8" fillId="0" borderId="58" xfId="9" applyFill="1" applyBorder="1" applyAlignment="1">
      <alignment vertical="center" wrapText="1"/>
    </xf>
    <xf numFmtId="0" fontId="51" fillId="0" borderId="67" xfId="9" applyFont="1" applyFill="1" applyBorder="1">
      <alignment vertical="center"/>
    </xf>
    <xf numFmtId="0" fontId="12" fillId="0" borderId="0" xfId="0" applyFont="1" applyAlignment="1">
      <alignment vertical="center"/>
    </xf>
    <xf numFmtId="3" fontId="9" fillId="0" borderId="64" xfId="4" applyNumberFormat="1" applyFont="1" applyBorder="1">
      <alignment vertical="center"/>
      <protection locked="0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2" fillId="0" borderId="0" xfId="0" applyFont="1" applyAlignment="1">
      <alignment vertical="center" wrapText="1"/>
    </xf>
    <xf numFmtId="0" fontId="26" fillId="0" borderId="88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3" fontId="9" fillId="0" borderId="91" xfId="4" applyNumberFormat="1" applyFont="1" applyBorder="1">
      <alignment vertical="center"/>
      <protection locked="0"/>
    </xf>
    <xf numFmtId="0" fontId="0" fillId="0" borderId="0" xfId="0"/>
    <xf numFmtId="0" fontId="0" fillId="0" borderId="0" xfId="0" applyFill="1"/>
    <xf numFmtId="0" fontId="34" fillId="0" borderId="93" xfId="15" applyFont="1" applyFill="1" applyBorder="1">
      <alignment horizontal="center" vertical="center"/>
    </xf>
    <xf numFmtId="0" fontId="14" fillId="0" borderId="85" xfId="5" applyFont="1" applyFill="1" applyBorder="1" applyAlignment="1">
      <alignment horizontal="center" vertical="center"/>
    </xf>
    <xf numFmtId="0" fontId="14" fillId="0" borderId="94" xfId="14" applyFont="1" applyFill="1" applyBorder="1">
      <alignment horizontal="center" vertical="center"/>
    </xf>
    <xf numFmtId="0" fontId="14" fillId="0" borderId="93" xfId="14" applyFont="1" applyFill="1" applyBorder="1">
      <alignment horizontal="center" vertical="center"/>
    </xf>
    <xf numFmtId="0" fontId="14" fillId="0" borderId="95" xfId="14" applyFont="1" applyFill="1" applyBorder="1">
      <alignment horizontal="center" vertical="center"/>
    </xf>
    <xf numFmtId="0" fontId="14" fillId="0" borderId="96" xfId="14" applyFont="1" applyFill="1" applyBorder="1">
      <alignment horizontal="center" vertical="center"/>
    </xf>
    <xf numFmtId="3" fontId="9" fillId="0" borderId="99" xfId="2" applyNumberFormat="1" applyFill="1" applyBorder="1">
      <alignment vertical="center"/>
    </xf>
    <xf numFmtId="3" fontId="9" fillId="0" borderId="100" xfId="2" applyNumberFormat="1" applyFill="1" applyBorder="1">
      <alignment vertical="center"/>
    </xf>
    <xf numFmtId="3" fontId="9" fillId="0" borderId="101" xfId="2" applyNumberFormat="1" applyFill="1" applyBorder="1">
      <alignment vertical="center"/>
    </xf>
    <xf numFmtId="3" fontId="9" fillId="0" borderId="102" xfId="2" applyNumberFormat="1" applyFill="1" applyBorder="1">
      <alignment vertical="center"/>
    </xf>
    <xf numFmtId="3" fontId="9" fillId="0" borderId="103" xfId="2" applyNumberFormat="1" applyFill="1" applyBorder="1">
      <alignment vertical="center"/>
    </xf>
    <xf numFmtId="3" fontId="9" fillId="0" borderId="101" xfId="4" applyNumberFormat="1" applyFont="1" applyBorder="1" applyProtection="1">
      <alignment vertical="center"/>
    </xf>
    <xf numFmtId="3" fontId="9" fillId="0" borderId="102" xfId="4" applyNumberFormat="1" applyFont="1" applyBorder="1">
      <alignment vertical="center"/>
      <protection locked="0"/>
    </xf>
    <xf numFmtId="3" fontId="9" fillId="0" borderId="101" xfId="4" applyNumberFormat="1" applyFont="1" applyBorder="1">
      <alignment vertical="center"/>
      <protection locked="0"/>
    </xf>
    <xf numFmtId="3" fontId="9" fillId="0" borderId="104" xfId="4" applyNumberFormat="1" applyFont="1" applyBorder="1">
      <alignment vertical="center"/>
      <protection locked="0"/>
    </xf>
    <xf numFmtId="3" fontId="9" fillId="0" borderId="105" xfId="4" applyNumberFormat="1" applyFont="1" applyBorder="1">
      <alignment vertical="center"/>
      <protection locked="0"/>
    </xf>
    <xf numFmtId="3" fontId="27" fillId="0" borderId="106" xfId="2" applyNumberFormat="1" applyFont="1" applyFill="1" applyBorder="1">
      <alignment vertical="center"/>
    </xf>
    <xf numFmtId="3" fontId="27" fillId="0" borderId="107" xfId="2" applyNumberFormat="1" applyFont="1" applyFill="1" applyBorder="1">
      <alignment vertical="center"/>
    </xf>
    <xf numFmtId="3" fontId="9" fillId="0" borderId="108" xfId="2" applyNumberFormat="1" applyFill="1" applyBorder="1">
      <alignment vertical="center"/>
    </xf>
    <xf numFmtId="3" fontId="9" fillId="0" borderId="109" xfId="2" applyNumberFormat="1" applyFill="1" applyBorder="1">
      <alignment vertical="center"/>
    </xf>
    <xf numFmtId="3" fontId="9" fillId="0" borderId="106" xfId="2" applyNumberFormat="1" applyFill="1" applyBorder="1">
      <alignment vertical="center"/>
    </xf>
    <xf numFmtId="3" fontId="9" fillId="0" borderId="22" xfId="2" applyNumberFormat="1" applyFill="1" applyBorder="1">
      <alignment vertical="center"/>
    </xf>
    <xf numFmtId="3" fontId="9" fillId="0" borderId="98" xfId="2" applyNumberFormat="1" applyFill="1" applyBorder="1">
      <alignment vertical="center"/>
    </xf>
    <xf numFmtId="3" fontId="12" fillId="0" borderId="110" xfId="0" applyNumberFormat="1" applyFont="1" applyBorder="1" applyAlignment="1">
      <alignment vertical="center"/>
    </xf>
    <xf numFmtId="3" fontId="12" fillId="0" borderId="102" xfId="0" applyNumberFormat="1" applyFont="1" applyBorder="1" applyAlignment="1">
      <alignment vertical="center"/>
    </xf>
    <xf numFmtId="3" fontId="9" fillId="0" borderId="104" xfId="2" applyNumberFormat="1" applyFill="1" applyBorder="1">
      <alignment vertical="center"/>
    </xf>
    <xf numFmtId="3" fontId="9" fillId="0" borderId="105" xfId="2" applyNumberFormat="1" applyFill="1" applyBorder="1">
      <alignment vertical="center"/>
    </xf>
    <xf numFmtId="3" fontId="27" fillId="0" borderId="111" xfId="2" applyNumberFormat="1" applyFont="1" applyFill="1" applyBorder="1">
      <alignment vertical="center"/>
    </xf>
    <xf numFmtId="3" fontId="27" fillId="0" borderId="112" xfId="2" applyNumberFormat="1" applyFont="1" applyFill="1" applyBorder="1">
      <alignment vertical="center"/>
    </xf>
    <xf numFmtId="3" fontId="9" fillId="0" borderId="113" xfId="2" applyNumberFormat="1" applyFill="1" applyBorder="1">
      <alignment vertical="center"/>
    </xf>
    <xf numFmtId="3" fontId="9" fillId="0" borderId="114" xfId="2" applyNumberFormat="1" applyFill="1" applyBorder="1">
      <alignment vertical="center"/>
    </xf>
    <xf numFmtId="3" fontId="27" fillId="0" borderId="115" xfId="2" applyNumberFormat="1" applyFont="1" applyFill="1" applyBorder="1">
      <alignment vertical="center"/>
    </xf>
    <xf numFmtId="3" fontId="27" fillId="0" borderId="116" xfId="2" applyNumberFormat="1" applyFont="1" applyFill="1" applyBorder="1">
      <alignment vertical="center"/>
    </xf>
    <xf numFmtId="0" fontId="9" fillId="0" borderId="117" xfId="9" applyFont="1" applyFill="1" applyBorder="1">
      <alignment vertical="center"/>
    </xf>
    <xf numFmtId="0" fontId="13" fillId="0" borderId="118" xfId="15" applyFont="1" applyFill="1" applyBorder="1">
      <alignment horizontal="center" vertical="center"/>
    </xf>
    <xf numFmtId="0" fontId="13" fillId="0" borderId="119" xfId="15" applyFont="1" applyFill="1" applyBorder="1">
      <alignment horizontal="center" vertical="center"/>
    </xf>
    <xf numFmtId="0" fontId="13" fillId="0" borderId="122" xfId="15" applyFont="1" applyFill="1" applyBorder="1">
      <alignment horizontal="center" vertical="center"/>
    </xf>
    <xf numFmtId="0" fontId="34" fillId="0" borderId="126" xfId="15" applyFont="1" applyFill="1" applyBorder="1">
      <alignment horizontal="center" vertical="center"/>
    </xf>
    <xf numFmtId="0" fontId="13" fillId="0" borderId="98" xfId="15" applyFont="1" applyFill="1" applyBorder="1">
      <alignment horizontal="center" vertical="center"/>
    </xf>
    <xf numFmtId="0" fontId="34" fillId="0" borderId="127" xfId="15" applyFont="1" applyFill="1" applyBorder="1">
      <alignment horizontal="center" vertical="center"/>
    </xf>
    <xf numFmtId="0" fontId="14" fillId="0" borderId="129" xfId="14" applyFont="1" applyFill="1" applyBorder="1">
      <alignment horizontal="center" vertical="center"/>
    </xf>
    <xf numFmtId="0" fontId="13" fillId="0" borderId="130" xfId="15" applyFont="1" applyFill="1" applyBorder="1" applyAlignment="1">
      <alignment horizontal="left" vertical="center"/>
    </xf>
    <xf numFmtId="0" fontId="14" fillId="0" borderId="126" xfId="14" applyFont="1" applyFill="1" applyBorder="1">
      <alignment horizontal="center" vertical="center"/>
    </xf>
    <xf numFmtId="0" fontId="9" fillId="0" borderId="103" xfId="9" applyFont="1" applyFill="1" applyBorder="1">
      <alignment vertical="center"/>
    </xf>
    <xf numFmtId="0" fontId="9" fillId="0" borderId="132" xfId="9" applyFont="1" applyFill="1" applyBorder="1" applyAlignment="1">
      <alignment horizontal="center" vertical="center"/>
    </xf>
    <xf numFmtId="3" fontId="9" fillId="0" borderId="133" xfId="2" applyNumberFormat="1" applyFill="1" applyBorder="1">
      <alignment vertical="center"/>
    </xf>
    <xf numFmtId="3" fontId="9" fillId="0" borderId="14" xfId="2" applyNumberFormat="1" applyFill="1" applyBorder="1">
      <alignment vertical="center"/>
    </xf>
    <xf numFmtId="0" fontId="9" fillId="0" borderId="98" xfId="9" applyFont="1" applyFill="1" applyBorder="1">
      <alignment vertical="center"/>
    </xf>
    <xf numFmtId="0" fontId="9" fillId="0" borderId="127" xfId="9" applyFont="1" applyFill="1" applyBorder="1" applyAlignment="1">
      <alignment horizontal="center" vertical="center"/>
    </xf>
    <xf numFmtId="16" fontId="9" fillId="0" borderId="127" xfId="9" applyNumberFormat="1" applyFont="1" applyFill="1" applyBorder="1" applyAlignment="1">
      <alignment horizontal="center" vertical="center"/>
    </xf>
    <xf numFmtId="3" fontId="9" fillId="0" borderId="134" xfId="2" applyNumberFormat="1" applyFill="1" applyBorder="1">
      <alignment vertical="center"/>
    </xf>
    <xf numFmtId="3" fontId="9" fillId="0" borderId="128" xfId="2" applyNumberFormat="1" applyFill="1" applyBorder="1">
      <alignment vertical="center"/>
    </xf>
    <xf numFmtId="16" fontId="9" fillId="0" borderId="127" xfId="9" applyNumberFormat="1" applyFont="1" applyFill="1" applyBorder="1" applyAlignment="1">
      <alignment horizontal="center" vertical="center" wrapText="1"/>
    </xf>
    <xf numFmtId="0" fontId="9" fillId="0" borderId="135" xfId="9" applyFont="1" applyFill="1" applyBorder="1">
      <alignment vertical="center"/>
    </xf>
    <xf numFmtId="0" fontId="14" fillId="0" borderId="84" xfId="14" applyFont="1" applyFill="1" applyBorder="1">
      <alignment horizontal="center" vertical="center"/>
    </xf>
    <xf numFmtId="0" fontId="9" fillId="0" borderId="136" xfId="9" applyFont="1" applyFill="1" applyBorder="1" applyAlignment="1">
      <alignment horizontal="center" vertical="center"/>
    </xf>
    <xf numFmtId="3" fontId="9" fillId="0" borderId="134" xfId="4" applyNumberFormat="1" applyFont="1" applyBorder="1">
      <alignment vertical="center"/>
      <protection locked="0"/>
    </xf>
    <xf numFmtId="0" fontId="13" fillId="0" borderId="130" xfId="15" applyFont="1" applyFill="1" applyBorder="1">
      <alignment horizontal="center" vertical="center"/>
    </xf>
    <xf numFmtId="3" fontId="14" fillId="0" borderId="134" xfId="2" applyNumberFormat="1" applyFont="1" applyFill="1" applyBorder="1">
      <alignment vertical="center"/>
    </xf>
    <xf numFmtId="3" fontId="14" fillId="0" borderId="128" xfId="2" applyNumberFormat="1" applyFont="1" applyFill="1" applyBorder="1">
      <alignment vertical="center"/>
    </xf>
    <xf numFmtId="3" fontId="9" fillId="0" borderId="15" xfId="2" applyNumberFormat="1" applyFill="1" applyBorder="1">
      <alignment vertical="center"/>
    </xf>
    <xf numFmtId="0" fontId="9" fillId="0" borderId="134" xfId="15" applyFont="1" applyFill="1" applyBorder="1" applyAlignment="1">
      <alignment horizontal="left" vertical="center"/>
    </xf>
    <xf numFmtId="0" fontId="9" fillId="0" borderId="127" xfId="9" applyFont="1" applyFill="1" applyBorder="1" applyAlignment="1">
      <alignment horizontal="center" vertical="center" wrapText="1"/>
    </xf>
    <xf numFmtId="0" fontId="13" fillId="0" borderId="137" xfId="15" applyFont="1" applyFill="1" applyBorder="1">
      <alignment horizontal="center" vertical="center"/>
    </xf>
    <xf numFmtId="0" fontId="18" fillId="0" borderId="132" xfId="15" applyFont="1" applyFill="1" applyBorder="1">
      <alignment horizontal="center" vertical="center"/>
    </xf>
    <xf numFmtId="3" fontId="18" fillId="0" borderId="133" xfId="2" applyNumberFormat="1" applyFont="1" applyFill="1" applyBorder="1">
      <alignment vertical="center"/>
    </xf>
    <xf numFmtId="3" fontId="18" fillId="0" borderId="138" xfId="2" applyNumberFormat="1" applyFont="1" applyFill="1" applyBorder="1">
      <alignment vertical="center"/>
    </xf>
    <xf numFmtId="0" fontId="14" fillId="0" borderId="139" xfId="14" applyFont="1" applyFill="1" applyBorder="1">
      <alignment horizontal="center" vertical="center"/>
    </xf>
    <xf numFmtId="0" fontId="9" fillId="0" borderId="140" xfId="9" applyFont="1" applyFill="1" applyBorder="1">
      <alignment vertical="center"/>
    </xf>
    <xf numFmtId="0" fontId="9" fillId="0" borderId="141" xfId="9" applyFont="1" applyFill="1" applyBorder="1">
      <alignment vertical="center"/>
    </xf>
    <xf numFmtId="0" fontId="35" fillId="0" borderId="142" xfId="9" applyFont="1" applyFill="1" applyBorder="1" applyAlignment="1">
      <alignment horizontal="center" vertical="center"/>
    </xf>
    <xf numFmtId="0" fontId="9" fillId="0" borderId="143" xfId="9" applyFont="1" applyFill="1" applyBorder="1" applyAlignment="1">
      <alignment horizontal="center" vertical="center"/>
    </xf>
    <xf numFmtId="3" fontId="14" fillId="0" borderId="144" xfId="2" applyNumberFormat="1" applyFont="1" applyFill="1" applyBorder="1">
      <alignment vertical="center"/>
    </xf>
    <xf numFmtId="3" fontId="14" fillId="0" borderId="145" xfId="2" applyNumberFormat="1" applyFont="1" applyFill="1" applyBorder="1">
      <alignment vertical="center"/>
    </xf>
    <xf numFmtId="0" fontId="35" fillId="0" borderId="116" xfId="15" applyFont="1" applyFill="1" applyBorder="1">
      <alignment horizontal="center" vertical="center"/>
    </xf>
    <xf numFmtId="0" fontId="35" fillId="0" borderId="146" xfId="15" applyFont="1" applyFill="1" applyBorder="1">
      <alignment horizontal="center" vertical="center"/>
    </xf>
    <xf numFmtId="3" fontId="14" fillId="0" borderId="147" xfId="2" applyNumberFormat="1" applyFont="1" applyFill="1" applyBorder="1">
      <alignment vertical="center"/>
    </xf>
    <xf numFmtId="3" fontId="9" fillId="0" borderId="128" xfId="4" applyNumberFormat="1" applyFont="1" applyFill="1" applyBorder="1">
      <alignment vertical="center"/>
      <protection locked="0"/>
    </xf>
    <xf numFmtId="0" fontId="12" fillId="0" borderId="0" xfId="0" applyFont="1" applyFill="1"/>
    <xf numFmtId="0" fontId="13" fillId="0" borderId="130" xfId="10" applyFont="1" applyFill="1" applyBorder="1">
      <alignment horizontal="left" vertical="center"/>
    </xf>
    <xf numFmtId="0" fontId="7" fillId="0" borderId="149" xfId="15" applyFill="1" applyBorder="1" applyAlignment="1">
      <alignment horizontal="centerContinuous" vertical="center"/>
    </xf>
    <xf numFmtId="0" fontId="7" fillId="0" borderId="150" xfId="15" applyFill="1" applyBorder="1" applyAlignment="1">
      <alignment horizontal="centerContinuous" vertical="center"/>
    </xf>
    <xf numFmtId="0" fontId="7" fillId="0" borderId="119" xfId="15" applyFill="1" applyBorder="1" applyAlignment="1">
      <alignment horizontal="centerContinuous" vertical="center"/>
    </xf>
    <xf numFmtId="0" fontId="7" fillId="0" borderId="151" xfId="15" applyFill="1" applyBorder="1" applyAlignment="1">
      <alignment horizontal="centerContinuous" vertical="center"/>
    </xf>
    <xf numFmtId="0" fontId="7" fillId="0" borderId="152" xfId="15" applyFill="1" applyBorder="1">
      <alignment horizontal="center" vertical="center"/>
    </xf>
    <xf numFmtId="0" fontId="7" fillId="0" borderId="144" xfId="15" applyFill="1" applyBorder="1">
      <alignment horizontal="center" vertical="center"/>
    </xf>
    <xf numFmtId="0" fontId="7" fillId="0" borderId="153" xfId="15" applyFill="1" applyBorder="1">
      <alignment horizontal="center" vertical="center"/>
    </xf>
    <xf numFmtId="0" fontId="7" fillId="0" borderId="145" xfId="15" applyFill="1" applyBorder="1">
      <alignment horizontal="center" vertical="center"/>
    </xf>
    <xf numFmtId="0" fontId="11" fillId="0" borderId="154" xfId="9" applyFont="1" applyFill="1" applyBorder="1">
      <alignment vertical="center"/>
    </xf>
    <xf numFmtId="3" fontId="14" fillId="0" borderId="127" xfId="2" applyNumberFormat="1" applyFont="1" applyFill="1" applyBorder="1">
      <alignment vertical="center"/>
    </xf>
    <xf numFmtId="3" fontId="11" fillId="0" borderId="134" xfId="4" applyNumberFormat="1" applyFont="1" applyBorder="1">
      <alignment vertical="center"/>
      <protection locked="0"/>
    </xf>
    <xf numFmtId="0" fontId="8" fillId="0" borderId="154" xfId="9" applyFill="1" applyBorder="1" applyAlignment="1">
      <alignment horizontal="left" vertical="center" wrapText="1"/>
    </xf>
    <xf numFmtId="3" fontId="18" fillId="0" borderId="134" xfId="2" applyNumberFormat="1" applyFont="1" applyFill="1" applyBorder="1">
      <alignment vertical="center"/>
    </xf>
    <xf numFmtId="3" fontId="8" fillId="0" borderId="134" xfId="4" applyNumberFormat="1" applyBorder="1">
      <alignment vertical="center"/>
      <protection locked="0"/>
    </xf>
    <xf numFmtId="3" fontId="8" fillId="0" borderId="103" xfId="4" applyNumberFormat="1" applyBorder="1">
      <alignment vertical="center"/>
      <protection locked="0"/>
    </xf>
    <xf numFmtId="3" fontId="11" fillId="0" borderId="155" xfId="4" applyNumberFormat="1" applyFont="1" applyBorder="1">
      <alignment vertical="center"/>
      <protection locked="0"/>
    </xf>
    <xf numFmtId="3" fontId="11" fillId="0" borderId="133" xfId="4" applyNumberFormat="1" applyFont="1" applyBorder="1">
      <alignment vertical="center"/>
      <protection locked="0"/>
    </xf>
    <xf numFmtId="3" fontId="11" fillId="0" borderId="99" xfId="4" applyNumberFormat="1" applyFont="1" applyBorder="1">
      <alignment vertical="center"/>
      <protection locked="0"/>
    </xf>
    <xf numFmtId="3" fontId="8" fillId="0" borderId="155" xfId="4" applyNumberFormat="1" applyBorder="1">
      <alignment vertical="center"/>
      <protection locked="0"/>
    </xf>
    <xf numFmtId="3" fontId="8" fillId="0" borderId="133" xfId="4" applyNumberFormat="1" applyBorder="1">
      <alignment vertical="center"/>
      <protection locked="0"/>
    </xf>
    <xf numFmtId="3" fontId="18" fillId="0" borderId="132" xfId="2" applyNumberFormat="1" applyFont="1" applyFill="1" applyBorder="1">
      <alignment vertical="center"/>
    </xf>
    <xf numFmtId="3" fontId="18" fillId="0" borderId="93" xfId="2" applyNumberFormat="1" applyFont="1" applyFill="1" applyBorder="1">
      <alignment vertical="center"/>
    </xf>
    <xf numFmtId="3" fontId="8" fillId="0" borderId="99" xfId="4" applyNumberFormat="1" applyBorder="1">
      <alignment vertical="center"/>
      <protection locked="0"/>
    </xf>
    <xf numFmtId="3" fontId="9" fillId="0" borderId="138" xfId="2" applyNumberFormat="1" applyFill="1" applyBorder="1">
      <alignment vertical="center"/>
    </xf>
    <xf numFmtId="3" fontId="8" fillId="0" borderId="156" xfId="4" applyNumberFormat="1" applyBorder="1">
      <alignment vertical="center"/>
      <protection locked="0"/>
    </xf>
    <xf numFmtId="3" fontId="8" fillId="0" borderId="101" xfId="4" applyNumberFormat="1" applyBorder="1">
      <alignment vertical="center"/>
      <protection locked="0"/>
    </xf>
    <xf numFmtId="0" fontId="11" fillId="0" borderId="154" xfId="9" applyFont="1" applyFill="1" applyBorder="1" applyAlignment="1">
      <alignment vertical="center" wrapText="1"/>
    </xf>
    <xf numFmtId="3" fontId="32" fillId="0" borderId="157" xfId="4" applyNumberFormat="1" applyFont="1" applyBorder="1">
      <alignment vertical="center"/>
      <protection locked="0"/>
    </xf>
    <xf numFmtId="3" fontId="32" fillId="0" borderId="134" xfId="4" applyNumberFormat="1" applyFont="1" applyBorder="1">
      <alignment vertical="center"/>
      <protection locked="0"/>
    </xf>
    <xf numFmtId="3" fontId="11" fillId="0" borderId="127" xfId="4" applyNumberFormat="1" applyFont="1" applyBorder="1">
      <alignment vertical="center"/>
      <protection locked="0"/>
    </xf>
    <xf numFmtId="3" fontId="32" fillId="0" borderId="158" xfId="4" applyNumberFormat="1" applyFont="1" applyBorder="1">
      <alignment vertical="center"/>
      <protection locked="0"/>
    </xf>
    <xf numFmtId="3" fontId="11" fillId="0" borderId="128" xfId="4" applyNumberFormat="1" applyFont="1" applyBorder="1">
      <alignment vertical="center"/>
      <protection locked="0"/>
    </xf>
    <xf numFmtId="3" fontId="16" fillId="0" borderId="157" xfId="4" applyNumberFormat="1" applyFont="1" applyBorder="1">
      <alignment vertical="center"/>
      <protection locked="0"/>
    </xf>
    <xf numFmtId="3" fontId="16" fillId="0" borderId="134" xfId="4" applyNumberFormat="1" applyFont="1" applyBorder="1">
      <alignment vertical="center"/>
      <protection locked="0"/>
    </xf>
    <xf numFmtId="3" fontId="16" fillId="0" borderId="159" xfId="4" applyNumberFormat="1" applyFont="1" applyBorder="1">
      <alignment vertical="center"/>
      <protection locked="0"/>
    </xf>
    <xf numFmtId="3" fontId="16" fillId="0" borderId="158" xfId="4" applyNumberFormat="1" applyFont="1" applyBorder="1">
      <alignment vertical="center"/>
      <protection locked="0"/>
    </xf>
    <xf numFmtId="3" fontId="16" fillId="0" borderId="160" xfId="4" applyNumberFormat="1" applyFont="1" applyBorder="1">
      <alignment vertical="center"/>
      <protection locked="0"/>
    </xf>
    <xf numFmtId="3" fontId="16" fillId="0" borderId="161" xfId="4" applyNumberFormat="1" applyFont="1" applyBorder="1">
      <alignment vertical="center"/>
      <protection locked="0"/>
    </xf>
    <xf numFmtId="3" fontId="16" fillId="0" borderId="162" xfId="4" applyNumberFormat="1" applyFont="1" applyBorder="1">
      <alignment vertical="center"/>
      <protection locked="0"/>
    </xf>
    <xf numFmtId="3" fontId="14" fillId="0" borderId="156" xfId="4" applyNumberFormat="1" applyFont="1" applyBorder="1">
      <alignment vertical="center"/>
      <protection locked="0"/>
    </xf>
    <xf numFmtId="3" fontId="14" fillId="0" borderId="98" xfId="4" applyNumberFormat="1" applyFont="1" applyBorder="1">
      <alignment vertical="center"/>
      <protection locked="0"/>
    </xf>
    <xf numFmtId="3" fontId="14" fillId="0" borderId="93" xfId="4" applyNumberFormat="1" applyFont="1" applyBorder="1">
      <alignment vertical="center"/>
      <protection locked="0"/>
    </xf>
    <xf numFmtId="3" fontId="11" fillId="0" borderId="98" xfId="4" applyNumberFormat="1" applyFont="1" applyBorder="1">
      <alignment vertical="center"/>
      <protection locked="0"/>
    </xf>
    <xf numFmtId="3" fontId="18" fillId="0" borderId="93" xfId="4" applyNumberFormat="1" applyFont="1" applyBorder="1">
      <alignment vertical="center"/>
      <protection locked="0"/>
    </xf>
    <xf numFmtId="3" fontId="18" fillId="0" borderId="134" xfId="4" applyNumberFormat="1" applyFont="1" applyBorder="1">
      <alignment vertical="center"/>
      <protection locked="0"/>
    </xf>
    <xf numFmtId="3" fontId="16" fillId="0" borderId="127" xfId="4" applyNumberFormat="1" applyFont="1" applyBorder="1">
      <alignment vertical="center"/>
      <protection locked="0"/>
    </xf>
    <xf numFmtId="3" fontId="16" fillId="0" borderId="128" xfId="4" applyNumberFormat="1" applyFont="1" applyBorder="1">
      <alignment vertical="center"/>
      <protection locked="0"/>
    </xf>
    <xf numFmtId="3" fontId="8" fillId="0" borderId="163" xfId="4" applyNumberFormat="1" applyBorder="1">
      <alignment vertical="center"/>
      <protection locked="0"/>
    </xf>
    <xf numFmtId="3" fontId="8" fillId="0" borderId="144" xfId="4" applyNumberFormat="1" applyBorder="1">
      <alignment vertical="center"/>
      <protection locked="0"/>
    </xf>
    <xf numFmtId="3" fontId="11" fillId="0" borderId="164" xfId="4" applyNumberFormat="1" applyFont="1" applyBorder="1">
      <alignment vertical="center"/>
      <protection locked="0"/>
    </xf>
    <xf numFmtId="0" fontId="7" fillId="0" borderId="168" xfId="15" applyFill="1" applyBorder="1">
      <alignment horizontal="center" vertical="center"/>
    </xf>
    <xf numFmtId="0" fontId="7" fillId="0" borderId="169" xfId="15" applyFill="1" applyBorder="1">
      <alignment horizontal="center" vertical="center"/>
    </xf>
    <xf numFmtId="0" fontId="8" fillId="0" borderId="170" xfId="9" applyFill="1" applyBorder="1">
      <alignment vertical="center"/>
    </xf>
    <xf numFmtId="3" fontId="9" fillId="0" borderId="93" xfId="4" applyNumberFormat="1" applyFont="1" applyBorder="1">
      <alignment vertical="center"/>
      <protection locked="0"/>
    </xf>
    <xf numFmtId="3" fontId="9" fillId="0" borderId="171" xfId="4" applyNumberFormat="1" applyFont="1" applyBorder="1">
      <alignment vertical="center"/>
      <protection locked="0"/>
    </xf>
    <xf numFmtId="3" fontId="9" fillId="0" borderId="172" xfId="4" applyNumberFormat="1" applyFont="1" applyBorder="1">
      <alignment vertical="center"/>
      <protection locked="0"/>
    </xf>
    <xf numFmtId="3" fontId="9" fillId="0" borderId="173" xfId="4" applyNumberFormat="1" applyFont="1" applyBorder="1">
      <alignment vertical="center"/>
      <protection locked="0"/>
    </xf>
    <xf numFmtId="3" fontId="9" fillId="0" borderId="174" xfId="4" applyNumberFormat="1" applyFont="1" applyBorder="1">
      <alignment vertical="center"/>
      <protection locked="0"/>
    </xf>
    <xf numFmtId="3" fontId="14" fillId="0" borderId="82" xfId="2" applyNumberFormat="1" applyFont="1" applyFill="1" applyBorder="1">
      <alignment vertical="center"/>
    </xf>
    <xf numFmtId="0" fontId="26" fillId="0" borderId="49" xfId="0" applyFont="1" applyFill="1" applyBorder="1" applyAlignment="1">
      <alignment horizontal="center" vertical="center"/>
    </xf>
    <xf numFmtId="3" fontId="9" fillId="0" borderId="12" xfId="4" applyNumberFormat="1" applyFont="1" applyFill="1" applyBorder="1">
      <alignment vertical="center"/>
      <protection locked="0"/>
    </xf>
    <xf numFmtId="3" fontId="9" fillId="0" borderId="86" xfId="4" applyNumberFormat="1" applyFont="1" applyFill="1" applyBorder="1">
      <alignment vertical="center"/>
      <protection locked="0"/>
    </xf>
    <xf numFmtId="3" fontId="9" fillId="0" borderId="13" xfId="4" applyNumberFormat="1" applyFont="1" applyFill="1" applyBorder="1">
      <alignment vertical="center"/>
      <protection locked="0"/>
    </xf>
    <xf numFmtId="0" fontId="26" fillId="0" borderId="50" xfId="0" applyFont="1" applyFill="1" applyBorder="1" applyAlignment="1">
      <alignment horizontal="center" vertical="center"/>
    </xf>
    <xf numFmtId="0" fontId="7" fillId="0" borderId="177" xfId="15" applyFill="1" applyBorder="1">
      <alignment horizontal="center" vertical="center"/>
    </xf>
    <xf numFmtId="0" fontId="7" fillId="0" borderId="178" xfId="15" applyFill="1" applyBorder="1">
      <alignment horizontal="center" vertical="center"/>
    </xf>
    <xf numFmtId="0" fontId="32" fillId="0" borderId="170" xfId="9" applyFont="1" applyFill="1" applyBorder="1" applyAlignment="1">
      <alignment horizontal="center" vertical="center"/>
    </xf>
    <xf numFmtId="3" fontId="8" fillId="0" borderId="179" xfId="4" applyNumberFormat="1" applyFill="1" applyBorder="1">
      <alignment vertical="center"/>
      <protection locked="0"/>
    </xf>
    <xf numFmtId="0" fontId="26" fillId="0" borderId="88" xfId="0" applyFont="1" applyFill="1" applyBorder="1" applyAlignment="1">
      <alignment horizontal="center" vertical="center"/>
    </xf>
    <xf numFmtId="3" fontId="9" fillId="0" borderId="87" xfId="4" applyNumberFormat="1" applyFont="1" applyFill="1" applyBorder="1">
      <alignment vertical="center"/>
      <protection locked="0"/>
    </xf>
    <xf numFmtId="0" fontId="8" fillId="0" borderId="180" xfId="9" applyFill="1" applyBorder="1">
      <alignment vertical="center"/>
    </xf>
    <xf numFmtId="3" fontId="9" fillId="0" borderId="181" xfId="4" applyNumberFormat="1" applyFont="1" applyFill="1" applyBorder="1">
      <alignment vertical="center"/>
      <protection locked="0"/>
    </xf>
    <xf numFmtId="3" fontId="9" fillId="0" borderId="182" xfId="4" applyNumberFormat="1" applyFont="1" applyFill="1" applyBorder="1">
      <alignment vertical="center"/>
      <protection locked="0"/>
    </xf>
    <xf numFmtId="3" fontId="9" fillId="0" borderId="183" xfId="4" applyNumberFormat="1" applyFont="1" applyFill="1" applyBorder="1">
      <alignment vertical="center"/>
      <protection locked="0"/>
    </xf>
    <xf numFmtId="3" fontId="9" fillId="0" borderId="184" xfId="4" applyNumberFormat="1" applyFont="1" applyFill="1" applyBorder="1">
      <alignment vertical="center"/>
      <protection locked="0"/>
    </xf>
    <xf numFmtId="3" fontId="8" fillId="0" borderId="182" xfId="4" applyNumberFormat="1" applyFill="1" applyBorder="1">
      <alignment vertical="center"/>
      <protection locked="0"/>
    </xf>
    <xf numFmtId="0" fontId="32" fillId="0" borderId="180" xfId="9" applyFont="1" applyFill="1" applyBorder="1">
      <alignment vertical="center"/>
    </xf>
    <xf numFmtId="3" fontId="27" fillId="0" borderId="184" xfId="4" applyNumberFormat="1" applyFont="1" applyFill="1" applyBorder="1">
      <alignment vertical="center"/>
      <protection locked="0"/>
    </xf>
    <xf numFmtId="3" fontId="27" fillId="0" borderId="182" xfId="4" applyNumberFormat="1" applyFont="1" applyFill="1" applyBorder="1">
      <alignment vertical="center"/>
      <protection locked="0"/>
    </xf>
    <xf numFmtId="0" fontId="32" fillId="0" borderId="180" xfId="9" applyFont="1" applyFill="1" applyBorder="1" applyAlignment="1">
      <alignment horizontal="center" vertical="center"/>
    </xf>
    <xf numFmtId="3" fontId="9" fillId="0" borderId="185" xfId="4" applyNumberFormat="1" applyFont="1" applyFill="1" applyBorder="1">
      <alignment vertical="center"/>
      <protection locked="0"/>
    </xf>
    <xf numFmtId="3" fontId="8" fillId="0" borderId="185" xfId="4" applyNumberFormat="1" applyFill="1" applyBorder="1">
      <alignment vertical="center"/>
      <protection locked="0"/>
    </xf>
    <xf numFmtId="3" fontId="32" fillId="0" borderId="184" xfId="4" applyNumberFormat="1" applyFont="1" applyFill="1" applyBorder="1">
      <alignment vertical="center"/>
      <protection locked="0"/>
    </xf>
    <xf numFmtId="3" fontId="32" fillId="0" borderId="182" xfId="4" applyNumberFormat="1" applyFont="1" applyFill="1" applyBorder="1">
      <alignment vertical="center"/>
      <protection locked="0"/>
    </xf>
    <xf numFmtId="3" fontId="27" fillId="0" borderId="186" xfId="4" applyNumberFormat="1" applyFont="1" applyFill="1" applyBorder="1">
      <alignment vertical="center"/>
      <protection locked="0"/>
    </xf>
    <xf numFmtId="3" fontId="32" fillId="0" borderId="187" xfId="4" applyNumberFormat="1" applyFont="1" applyFill="1" applyBorder="1">
      <alignment vertical="center"/>
      <protection locked="0"/>
    </xf>
    <xf numFmtId="0" fontId="26" fillId="0" borderId="188" xfId="0" applyFont="1" applyFill="1" applyBorder="1" applyAlignment="1">
      <alignment horizontal="center" vertical="center"/>
    </xf>
    <xf numFmtId="3" fontId="8" fillId="0" borderId="189" xfId="4" applyNumberFormat="1" applyFill="1" applyBorder="1">
      <alignment vertical="center"/>
      <protection locked="0"/>
    </xf>
    <xf numFmtId="3" fontId="14" fillId="0" borderId="26" xfId="2" applyNumberFormat="1" applyFont="1" applyFill="1" applyBorder="1">
      <alignment vertical="center"/>
    </xf>
    <xf numFmtId="0" fontId="20" fillId="0" borderId="0" xfId="0" applyFont="1" applyFill="1"/>
    <xf numFmtId="0" fontId="13" fillId="0" borderId="91" xfId="15" applyFont="1" applyFill="1" applyBorder="1">
      <alignment horizontal="center" vertical="center"/>
    </xf>
    <xf numFmtId="0" fontId="13" fillId="0" borderId="92" xfId="15" applyFont="1" applyFill="1" applyBorder="1">
      <alignment horizontal="center" vertical="center"/>
    </xf>
    <xf numFmtId="3" fontId="9" fillId="0" borderId="83" xfId="4" applyNumberFormat="1" applyFont="1" applyFill="1" applyBorder="1">
      <alignment vertical="center"/>
      <protection locked="0"/>
    </xf>
    <xf numFmtId="0" fontId="8" fillId="0" borderId="170" xfId="9" applyFill="1" applyBorder="1" applyAlignment="1">
      <alignment vertical="center" wrapText="1"/>
    </xf>
    <xf numFmtId="3" fontId="9" fillId="0" borderId="190" xfId="4" applyNumberFormat="1" applyFont="1" applyBorder="1">
      <alignment vertical="center"/>
      <protection locked="0"/>
    </xf>
    <xf numFmtId="3" fontId="9" fillId="0" borderId="191" xfId="4" applyNumberFormat="1" applyFont="1" applyFill="1" applyBorder="1">
      <alignment vertical="center"/>
      <protection locked="0"/>
    </xf>
    <xf numFmtId="0" fontId="32" fillId="0" borderId="170" xfId="9" applyFont="1" applyFill="1" applyBorder="1">
      <alignment vertical="center"/>
    </xf>
    <xf numFmtId="3" fontId="14" fillId="0" borderId="190" xfId="4" applyNumberFormat="1" applyFont="1" applyBorder="1">
      <alignment vertical="center"/>
      <protection locked="0"/>
    </xf>
    <xf numFmtId="3" fontId="14" fillId="0" borderId="191" xfId="4" applyNumberFormat="1" applyFont="1" applyFill="1" applyBorder="1">
      <alignment vertical="center"/>
      <protection locked="0"/>
    </xf>
    <xf numFmtId="3" fontId="8" fillId="0" borderId="190" xfId="4" applyNumberFormat="1" applyBorder="1">
      <alignment vertical="center"/>
      <protection locked="0"/>
    </xf>
    <xf numFmtId="3" fontId="9" fillId="0" borderId="92" xfId="4" applyNumberFormat="1" applyFont="1" applyFill="1" applyBorder="1">
      <alignment vertical="center"/>
      <protection locked="0"/>
    </xf>
    <xf numFmtId="0" fontId="9" fillId="0" borderId="170" xfId="9" applyFont="1" applyFill="1" applyBorder="1">
      <alignment vertical="center"/>
    </xf>
    <xf numFmtId="0" fontId="16" fillId="0" borderId="170" xfId="9" applyFont="1" applyFill="1" applyBorder="1">
      <alignment vertical="center"/>
    </xf>
    <xf numFmtId="3" fontId="32" fillId="0" borderId="192" xfId="4" applyNumberFormat="1" applyFont="1" applyBorder="1">
      <alignment vertical="center"/>
      <protection locked="0"/>
    </xf>
    <xf numFmtId="3" fontId="27" fillId="0" borderId="193" xfId="4" applyNumberFormat="1" applyFont="1" applyFill="1" applyBorder="1">
      <alignment vertical="center"/>
      <protection locked="0"/>
    </xf>
    <xf numFmtId="3" fontId="8" fillId="0" borderId="63" xfId="4" applyNumberFormat="1" applyFill="1" applyBorder="1">
      <alignment vertical="center"/>
      <protection locked="0"/>
    </xf>
    <xf numFmtId="0" fontId="7" fillId="0" borderId="194" xfId="15" applyFill="1" applyBorder="1">
      <alignment horizontal="center" vertical="center"/>
    </xf>
    <xf numFmtId="0" fontId="7" fillId="0" borderId="195" xfId="15" applyFill="1" applyBorder="1">
      <alignment horizontal="center" vertical="center"/>
    </xf>
    <xf numFmtId="3" fontId="8" fillId="0" borderId="83" xfId="4" applyNumberFormat="1" applyFill="1" applyBorder="1">
      <alignment vertical="center"/>
      <protection locked="0"/>
    </xf>
    <xf numFmtId="0" fontId="26" fillId="0" borderId="196" xfId="0" applyFont="1" applyFill="1" applyBorder="1" applyAlignment="1">
      <alignment horizontal="center" vertical="center"/>
    </xf>
    <xf numFmtId="0" fontId="8" fillId="0" borderId="197" xfId="9" applyFill="1" applyBorder="1">
      <alignment vertical="center"/>
    </xf>
    <xf numFmtId="3" fontId="8" fillId="0" borderId="194" xfId="4" applyNumberFormat="1" applyFill="1" applyBorder="1">
      <alignment vertical="center"/>
      <protection locked="0"/>
    </xf>
    <xf numFmtId="3" fontId="8" fillId="0" borderId="195" xfId="4" applyNumberFormat="1" applyFill="1" applyBorder="1">
      <alignment vertical="center"/>
      <protection locked="0"/>
    </xf>
    <xf numFmtId="3" fontId="8" fillId="0" borderId="198" xfId="4" applyNumberFormat="1" applyFill="1" applyBorder="1">
      <alignment vertical="center"/>
      <protection locked="0"/>
    </xf>
    <xf numFmtId="3" fontId="8" fillId="0" borderId="25" xfId="4" applyNumberFormat="1" applyFill="1" applyBorder="1">
      <alignment vertical="center"/>
      <protection locked="0"/>
    </xf>
    <xf numFmtId="1" fontId="22" fillId="0" borderId="20" xfId="6" applyNumberFormat="1" applyFont="1" applyFill="1" applyBorder="1" applyAlignment="1">
      <alignment vertical="center"/>
    </xf>
    <xf numFmtId="1" fontId="21" fillId="0" borderId="60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3" fontId="21" fillId="0" borderId="8" xfId="0" applyNumberFormat="1" applyFont="1" applyFill="1" applyBorder="1" applyAlignment="1">
      <alignment horizontal="center" vertical="center" wrapText="1"/>
    </xf>
    <xf numFmtId="3" fontId="21" fillId="0" borderId="72" xfId="0" applyNumberFormat="1" applyFont="1" applyFill="1" applyBorder="1" applyAlignment="1">
      <alignment horizontal="center" vertical="center" wrapText="1"/>
    </xf>
    <xf numFmtId="49" fontId="21" fillId="0" borderId="80" xfId="0" applyNumberFormat="1" applyFont="1" applyFill="1" applyBorder="1"/>
    <xf numFmtId="0" fontId="21" fillId="0" borderId="74" xfId="0" applyFont="1" applyFill="1" applyBorder="1"/>
    <xf numFmtId="0" fontId="21" fillId="0" borderId="74" xfId="0" applyFont="1" applyFill="1" applyBorder="1" applyAlignment="1">
      <alignment horizontal="center"/>
    </xf>
    <xf numFmtId="4" fontId="21" fillId="0" borderId="74" xfId="0" applyNumberFormat="1" applyFont="1" applyFill="1" applyBorder="1" applyAlignment="1">
      <alignment horizontal="center"/>
    </xf>
    <xf numFmtId="3" fontId="21" fillId="0" borderId="74" xfId="0" applyNumberFormat="1" applyFont="1" applyFill="1" applyBorder="1"/>
    <xf numFmtId="49" fontId="22" fillId="0" borderId="80" xfId="0" applyNumberFormat="1" applyFont="1" applyFill="1" applyBorder="1"/>
    <xf numFmtId="3" fontId="21" fillId="0" borderId="78" xfId="0" applyNumberFormat="1" applyFont="1" applyFill="1" applyBorder="1"/>
    <xf numFmtId="1" fontId="22" fillId="0" borderId="117" xfId="6" applyNumberFormat="1" applyFont="1" applyFill="1" applyBorder="1" applyAlignment="1">
      <alignment vertical="center"/>
    </xf>
    <xf numFmtId="3" fontId="22" fillId="0" borderId="122" xfId="6" applyNumberFormat="1" applyFont="1" applyFill="1" applyBorder="1" applyAlignment="1">
      <alignment vertical="center"/>
    </xf>
    <xf numFmtId="3" fontId="22" fillId="0" borderId="199" xfId="6" applyNumberFormat="1" applyFont="1" applyFill="1" applyBorder="1" applyAlignment="1">
      <alignment vertical="center"/>
    </xf>
    <xf numFmtId="3" fontId="22" fillId="0" borderId="0" xfId="6" applyNumberFormat="1" applyFont="1" applyFill="1" applyBorder="1" applyAlignment="1">
      <alignment vertical="center"/>
    </xf>
    <xf numFmtId="3" fontId="22" fillId="0" borderId="21" xfId="6" applyNumberFormat="1" applyFont="1" applyFill="1" applyBorder="1" applyAlignment="1">
      <alignment vertical="center"/>
    </xf>
    <xf numFmtId="3" fontId="21" fillId="0" borderId="200" xfId="0" applyNumberFormat="1" applyFont="1" applyFill="1" applyBorder="1" applyAlignment="1">
      <alignment horizontal="center" vertical="center" wrapText="1"/>
    </xf>
    <xf numFmtId="3" fontId="21" fillId="0" borderId="201" xfId="0" applyNumberFormat="1" applyFont="1" applyFill="1" applyBorder="1" applyAlignment="1">
      <alignment horizontal="center" vertical="center" wrapText="1"/>
    </xf>
    <xf numFmtId="3" fontId="21" fillId="0" borderId="76" xfId="0" applyNumberFormat="1" applyFont="1" applyFill="1" applyBorder="1"/>
    <xf numFmtId="0" fontId="22" fillId="0" borderId="202" xfId="0" applyFont="1" applyFill="1" applyBorder="1"/>
    <xf numFmtId="0" fontId="22" fillId="0" borderId="202" xfId="0" applyFont="1" applyFill="1" applyBorder="1" applyAlignment="1">
      <alignment horizontal="center"/>
    </xf>
    <xf numFmtId="3" fontId="22" fillId="0" borderId="202" xfId="0" applyNumberFormat="1" applyFont="1" applyFill="1" applyBorder="1" applyAlignment="1">
      <alignment horizontal="right"/>
    </xf>
    <xf numFmtId="3" fontId="22" fillId="0" borderId="202" xfId="0" applyNumberFormat="1" applyFont="1" applyFill="1" applyBorder="1"/>
    <xf numFmtId="3" fontId="22" fillId="0" borderId="203" xfId="0" applyNumberFormat="1" applyFont="1" applyFill="1" applyBorder="1"/>
    <xf numFmtId="0" fontId="21" fillId="0" borderId="202" xfId="0" applyFont="1" applyFill="1" applyBorder="1"/>
    <xf numFmtId="0" fontId="21" fillId="0" borderId="202" xfId="0" applyFont="1" applyFill="1" applyBorder="1" applyAlignment="1">
      <alignment horizontal="center"/>
    </xf>
    <xf numFmtId="3" fontId="21" fillId="0" borderId="202" xfId="0" applyNumberFormat="1" applyFont="1" applyFill="1" applyBorder="1" applyAlignment="1">
      <alignment horizontal="right"/>
    </xf>
    <xf numFmtId="3" fontId="21" fillId="0" borderId="202" xfId="0" applyNumberFormat="1" applyFont="1" applyFill="1" applyBorder="1"/>
    <xf numFmtId="3" fontId="21" fillId="0" borderId="203" xfId="0" applyNumberFormat="1" applyFont="1" applyFill="1" applyBorder="1"/>
    <xf numFmtId="49" fontId="22" fillId="0" borderId="204" xfId="0" applyNumberFormat="1" applyFont="1" applyFill="1" applyBorder="1"/>
    <xf numFmtId="3" fontId="22" fillId="0" borderId="202" xfId="0" applyNumberFormat="1" applyFont="1" applyFill="1" applyBorder="1" applyAlignment="1">
      <alignment horizontal="center"/>
    </xf>
    <xf numFmtId="49" fontId="21" fillId="0" borderId="204" xfId="0" applyNumberFormat="1" applyFont="1" applyFill="1" applyBorder="1"/>
    <xf numFmtId="3" fontId="21" fillId="0" borderId="202" xfId="0" applyNumberFormat="1" applyFont="1" applyFill="1" applyBorder="1" applyAlignment="1">
      <alignment horizontal="center"/>
    </xf>
    <xf numFmtId="165" fontId="22" fillId="0" borderId="202" xfId="0" applyNumberFormat="1" applyFont="1" applyFill="1" applyBorder="1" applyAlignment="1">
      <alignment horizontal="center"/>
    </xf>
    <xf numFmtId="4" fontId="22" fillId="0" borderId="202" xfId="0" applyNumberFormat="1" applyFont="1" applyFill="1" applyBorder="1" applyAlignment="1">
      <alignment horizontal="center"/>
    </xf>
    <xf numFmtId="49" fontId="50" fillId="0" borderId="204" xfId="0" applyNumberFormat="1" applyFont="1" applyFill="1" applyBorder="1"/>
    <xf numFmtId="0" fontId="50" fillId="0" borderId="202" xfId="0" applyFont="1" applyFill="1" applyBorder="1"/>
    <xf numFmtId="0" fontId="50" fillId="0" borderId="202" xfId="0" applyFont="1" applyFill="1" applyBorder="1" applyAlignment="1">
      <alignment horizontal="center"/>
    </xf>
    <xf numFmtId="4" fontId="50" fillId="0" borderId="202" xfId="0" applyNumberFormat="1" applyFont="1" applyFill="1" applyBorder="1" applyAlignment="1">
      <alignment horizontal="center"/>
    </xf>
    <xf numFmtId="3" fontId="50" fillId="0" borderId="202" xfId="0" applyNumberFormat="1" applyFont="1" applyFill="1" applyBorder="1"/>
    <xf numFmtId="3" fontId="50" fillId="0" borderId="203" xfId="0" applyNumberFormat="1" applyFont="1" applyFill="1" applyBorder="1"/>
    <xf numFmtId="0" fontId="22" fillId="0" borderId="202" xfId="0" applyFont="1" applyFill="1" applyBorder="1" applyAlignment="1">
      <alignment horizontal="center" wrapText="1"/>
    </xf>
    <xf numFmtId="49" fontId="21" fillId="0" borderId="204" xfId="0" applyNumberFormat="1" applyFont="1" applyFill="1" applyBorder="1" applyAlignment="1">
      <alignment horizontal="center"/>
    </xf>
    <xf numFmtId="0" fontId="21" fillId="0" borderId="208" xfId="0" applyFont="1" applyFill="1" applyBorder="1" applyAlignment="1">
      <alignment horizontal="left"/>
    </xf>
    <xf numFmtId="0" fontId="21" fillId="0" borderId="208" xfId="0" applyFont="1" applyFill="1" applyBorder="1" applyAlignment="1">
      <alignment horizontal="center"/>
    </xf>
    <xf numFmtId="0" fontId="21" fillId="0" borderId="209" xfId="0" applyFont="1" applyFill="1" applyBorder="1" applyAlignment="1">
      <alignment horizontal="center"/>
    </xf>
    <xf numFmtId="3" fontId="21" fillId="0" borderId="210" xfId="0" applyNumberFormat="1" applyFont="1" applyFill="1" applyBorder="1"/>
    <xf numFmtId="3" fontId="21" fillId="0" borderId="211" xfId="0" applyNumberFormat="1" applyFont="1" applyFill="1" applyBorder="1"/>
    <xf numFmtId="3" fontId="21" fillId="0" borderId="214" xfId="0" applyNumberFormat="1" applyFont="1" applyFill="1" applyBorder="1"/>
    <xf numFmtId="3" fontId="21" fillId="0" borderId="215" xfId="0" applyNumberFormat="1" applyFont="1" applyFill="1" applyBorder="1"/>
    <xf numFmtId="3" fontId="21" fillId="0" borderId="79" xfId="0" applyNumberFormat="1" applyFont="1" applyFill="1" applyBorder="1"/>
    <xf numFmtId="0" fontId="7" fillId="0" borderId="216" xfId="15" applyFill="1" applyBorder="1">
      <alignment horizontal="center" vertical="center"/>
    </xf>
    <xf numFmtId="0" fontId="7" fillId="0" borderId="217" xfId="15" applyFill="1" applyBorder="1">
      <alignment horizontal="center" vertical="center"/>
    </xf>
    <xf numFmtId="0" fontId="11" fillId="0" borderId="197" xfId="9" applyFont="1" applyFill="1" applyBorder="1" applyAlignment="1">
      <alignment horizontal="center" vertical="center"/>
    </xf>
    <xf numFmtId="3" fontId="14" fillId="0" borderId="218" xfId="4" applyNumberFormat="1" applyFont="1" applyFill="1" applyBorder="1">
      <alignment vertical="center"/>
      <protection locked="0"/>
    </xf>
    <xf numFmtId="3" fontId="14" fillId="0" borderId="219" xfId="4" applyNumberFormat="1" applyFont="1" applyFill="1" applyBorder="1">
      <alignment vertical="center"/>
      <protection locked="0"/>
    </xf>
    <xf numFmtId="0" fontId="26" fillId="0" borderId="220" xfId="0" applyFont="1" applyFill="1" applyBorder="1" applyAlignment="1">
      <alignment horizontal="center" vertical="center"/>
    </xf>
    <xf numFmtId="3" fontId="9" fillId="0" borderId="221" xfId="4" applyNumberFormat="1" applyFont="1" applyFill="1" applyBorder="1">
      <alignment vertical="center"/>
      <protection locked="0"/>
    </xf>
    <xf numFmtId="3" fontId="9" fillId="0" borderId="222" xfId="4" applyNumberFormat="1" applyFont="1" applyFill="1" applyBorder="1">
      <alignment vertical="center"/>
      <protection locked="0"/>
    </xf>
    <xf numFmtId="3" fontId="9" fillId="0" borderId="223" xfId="4" applyNumberFormat="1" applyFont="1" applyFill="1" applyBorder="1">
      <alignment vertical="center"/>
      <protection locked="0"/>
    </xf>
    <xf numFmtId="3" fontId="9" fillId="0" borderId="224" xfId="4" applyNumberFormat="1" applyFont="1" applyFill="1" applyBorder="1">
      <alignment vertical="center"/>
      <protection locked="0"/>
    </xf>
    <xf numFmtId="3" fontId="9" fillId="0" borderId="225" xfId="4" applyNumberFormat="1" applyFont="1" applyFill="1" applyBorder="1">
      <alignment vertical="center"/>
      <protection locked="0"/>
    </xf>
    <xf numFmtId="3" fontId="9" fillId="0" borderId="226" xfId="4" applyNumberFormat="1" applyFont="1" applyFill="1" applyBorder="1">
      <alignment vertical="center"/>
      <protection locked="0"/>
    </xf>
    <xf numFmtId="0" fontId="11" fillId="0" borderId="197" xfId="9" applyFont="1" applyFill="1" applyBorder="1">
      <alignment vertical="center"/>
    </xf>
    <xf numFmtId="3" fontId="14" fillId="0" borderId="226" xfId="4" applyNumberFormat="1" applyFont="1" applyFill="1" applyBorder="1">
      <alignment vertical="center"/>
      <protection locked="0"/>
    </xf>
    <xf numFmtId="0" fontId="9" fillId="0" borderId="197" xfId="9" applyFont="1" applyFill="1" applyBorder="1">
      <alignment vertical="center"/>
    </xf>
    <xf numFmtId="3" fontId="9" fillId="0" borderId="227" xfId="4" applyNumberFormat="1" applyFont="1" applyFill="1" applyBorder="1">
      <alignment vertical="center"/>
      <protection locked="0"/>
    </xf>
    <xf numFmtId="3" fontId="9" fillId="0" borderId="228" xfId="4" applyNumberFormat="1" applyFont="1" applyFill="1" applyBorder="1">
      <alignment vertical="center"/>
      <protection locked="0"/>
    </xf>
    <xf numFmtId="3" fontId="9" fillId="0" borderId="190" xfId="4" applyNumberFormat="1" applyFont="1" applyFill="1" applyBorder="1">
      <alignment vertical="center"/>
      <protection locked="0"/>
    </xf>
    <xf numFmtId="0" fontId="9" fillId="0" borderId="229" xfId="9" applyFont="1" applyFill="1" applyBorder="1">
      <alignment vertical="center"/>
    </xf>
    <xf numFmtId="3" fontId="9" fillId="0" borderId="230" xfId="4" applyNumberFormat="1" applyFont="1" applyFill="1" applyBorder="1">
      <alignment vertical="center"/>
      <protection locked="0"/>
    </xf>
    <xf numFmtId="3" fontId="9" fillId="0" borderId="231" xfId="4" applyNumberFormat="1" applyFont="1" applyFill="1" applyBorder="1">
      <alignment vertical="center"/>
      <protection locked="0"/>
    </xf>
    <xf numFmtId="3" fontId="9" fillId="0" borderId="232" xfId="4" applyNumberFormat="1" applyFont="1" applyFill="1" applyBorder="1">
      <alignment vertical="center"/>
      <protection locked="0"/>
    </xf>
    <xf numFmtId="3" fontId="9" fillId="0" borderId="233" xfId="4" applyNumberFormat="1" applyFont="1" applyFill="1" applyBorder="1">
      <alignment vertical="center"/>
      <protection locked="0"/>
    </xf>
    <xf numFmtId="0" fontId="11" fillId="0" borderId="229" xfId="9" applyFont="1" applyFill="1" applyBorder="1">
      <alignment vertical="center"/>
    </xf>
    <xf numFmtId="3" fontId="14" fillId="0" borderId="234" xfId="4" applyNumberFormat="1" applyFont="1" applyFill="1" applyBorder="1">
      <alignment vertical="center"/>
      <protection locked="0"/>
    </xf>
    <xf numFmtId="3" fontId="14" fillId="0" borderId="235" xfId="4" applyNumberFormat="1" applyFont="1" applyFill="1" applyBorder="1">
      <alignment vertical="center"/>
      <protection locked="0"/>
    </xf>
    <xf numFmtId="3" fontId="8" fillId="0" borderId="234" xfId="4" applyNumberFormat="1" applyFill="1" applyBorder="1">
      <alignment vertical="center"/>
      <protection locked="0"/>
    </xf>
    <xf numFmtId="3" fontId="8" fillId="0" borderId="235" xfId="4" applyNumberFormat="1" applyFill="1" applyBorder="1">
      <alignment vertical="center"/>
      <protection locked="0"/>
    </xf>
    <xf numFmtId="0" fontId="8" fillId="0" borderId="229" xfId="9" applyFill="1" applyBorder="1">
      <alignment vertical="center"/>
    </xf>
    <xf numFmtId="0" fontId="26" fillId="0" borderId="236" xfId="0" applyFont="1" applyFill="1" applyBorder="1" applyAlignment="1">
      <alignment horizontal="center" vertical="center"/>
    </xf>
    <xf numFmtId="3" fontId="11" fillId="0" borderId="237" xfId="4" applyNumberFormat="1" applyFont="1" applyFill="1" applyBorder="1">
      <alignment vertical="center"/>
      <protection locked="0"/>
    </xf>
    <xf numFmtId="3" fontId="11" fillId="0" borderId="238" xfId="4" applyNumberFormat="1" applyFont="1" applyFill="1" applyBorder="1">
      <alignment vertical="center"/>
      <protection locked="0"/>
    </xf>
    <xf numFmtId="0" fontId="11" fillId="0" borderId="239" xfId="15" applyFont="1" applyFill="1" applyBorder="1" applyAlignment="1">
      <alignment horizontal="left" vertical="center"/>
    </xf>
    <xf numFmtId="3" fontId="14" fillId="0" borderId="240" xfId="2" applyNumberFormat="1" applyFont="1" applyFill="1" applyBorder="1">
      <alignment vertical="center"/>
    </xf>
    <xf numFmtId="3" fontId="14" fillId="0" borderId="241" xfId="2" applyNumberFormat="1" applyFont="1" applyFill="1" applyBorder="1">
      <alignment vertical="center"/>
    </xf>
    <xf numFmtId="0" fontId="6" fillId="0" borderId="148" xfId="0" applyFont="1" applyBorder="1" applyAlignment="1">
      <alignment horizontal="left"/>
    </xf>
    <xf numFmtId="0" fontId="7" fillId="0" borderId="242" xfId="15" applyFill="1" applyBorder="1">
      <alignment horizontal="center" vertical="center"/>
    </xf>
    <xf numFmtId="0" fontId="7" fillId="0" borderId="243" xfId="13" applyBorder="1">
      <alignment horizontal="center" vertical="center" textRotation="90" wrapText="1"/>
    </xf>
    <xf numFmtId="0" fontId="7" fillId="0" borderId="244" xfId="13" applyBorder="1">
      <alignment horizontal="center" vertical="center" textRotation="90" wrapText="1"/>
    </xf>
    <xf numFmtId="0" fontId="7" fillId="0" borderId="245" xfId="13" applyBorder="1">
      <alignment horizontal="center" vertical="center" textRotation="90" wrapText="1"/>
    </xf>
    <xf numFmtId="0" fontId="7" fillId="0" borderId="246" xfId="13" applyBorder="1">
      <alignment horizontal="center" vertical="center" textRotation="90" wrapText="1"/>
    </xf>
    <xf numFmtId="0" fontId="38" fillId="0" borderId="247" xfId="9" applyFont="1" applyFill="1" applyBorder="1" applyAlignment="1">
      <alignment horizontal="left" vertical="center" wrapText="1"/>
    </xf>
    <xf numFmtId="3" fontId="38" fillId="0" borderId="248" xfId="4" applyNumberFormat="1" applyFont="1" applyBorder="1">
      <alignment vertical="center"/>
      <protection locked="0"/>
    </xf>
    <xf numFmtId="3" fontId="38" fillId="0" borderId="249" xfId="4" applyNumberFormat="1" applyFont="1" applyBorder="1">
      <alignment vertical="center"/>
      <protection locked="0"/>
    </xf>
    <xf numFmtId="3" fontId="38" fillId="0" borderId="250" xfId="4" applyNumberFormat="1" applyFont="1" applyBorder="1">
      <alignment vertical="center"/>
      <protection locked="0"/>
    </xf>
    <xf numFmtId="3" fontId="38" fillId="0" borderId="235" xfId="4" applyNumberFormat="1" applyFont="1" applyBorder="1">
      <alignment vertical="center"/>
      <protection locked="0"/>
    </xf>
    <xf numFmtId="0" fontId="8" fillId="0" borderId="247" xfId="9" applyFill="1" applyBorder="1" applyAlignment="1">
      <alignment horizontal="left" vertical="center" wrapText="1"/>
    </xf>
    <xf numFmtId="3" fontId="8" fillId="0" borderId="248" xfId="4" applyNumberFormat="1" applyBorder="1">
      <alignment vertical="center"/>
      <protection locked="0"/>
    </xf>
    <xf numFmtId="3" fontId="8" fillId="0" borderId="249" xfId="4" applyNumberFormat="1" applyBorder="1">
      <alignment vertical="center"/>
      <protection locked="0"/>
    </xf>
    <xf numFmtId="3" fontId="18" fillId="0" borderId="251" xfId="2" applyNumberFormat="1" applyFont="1" applyFill="1" applyBorder="1">
      <alignment vertical="center"/>
    </xf>
    <xf numFmtId="3" fontId="8" fillId="0" borderId="235" xfId="4" applyNumberFormat="1" applyBorder="1">
      <alignment vertical="center"/>
      <protection locked="0"/>
    </xf>
    <xf numFmtId="3" fontId="18" fillId="0" borderId="252" xfId="2" applyNumberFormat="1" applyFont="1" applyFill="1" applyBorder="1">
      <alignment vertical="center"/>
    </xf>
    <xf numFmtId="3" fontId="38" fillId="0" borderId="251" xfId="4" applyNumberFormat="1" applyFont="1" applyBorder="1">
      <alignment vertical="center"/>
      <protection locked="0"/>
    </xf>
    <xf numFmtId="3" fontId="9" fillId="0" borderId="251" xfId="2" applyNumberFormat="1" applyFill="1" applyBorder="1">
      <alignment vertical="center"/>
    </xf>
    <xf numFmtId="3" fontId="16" fillId="0" borderId="235" xfId="4" applyNumberFormat="1" applyFont="1" applyBorder="1">
      <alignment vertical="center"/>
      <protection locked="0"/>
    </xf>
    <xf numFmtId="3" fontId="8" fillId="0" borderId="251" xfId="4" applyNumberFormat="1" applyBorder="1">
      <alignment vertical="center"/>
      <protection locked="0"/>
    </xf>
    <xf numFmtId="3" fontId="42" fillId="0" borderId="235" xfId="4" applyNumberFormat="1" applyFont="1" applyBorder="1">
      <alignment vertical="center"/>
      <protection locked="0"/>
    </xf>
    <xf numFmtId="3" fontId="9" fillId="0" borderId="252" xfId="2" applyNumberFormat="1" applyFill="1" applyBorder="1">
      <alignment vertical="center"/>
    </xf>
    <xf numFmtId="3" fontId="38" fillId="0" borderId="230" xfId="4" applyNumberFormat="1" applyFont="1" applyBorder="1">
      <alignment vertical="center"/>
      <protection locked="0"/>
    </xf>
    <xf numFmtId="3" fontId="9" fillId="0" borderId="253" xfId="2" applyNumberFormat="1" applyFill="1" applyBorder="1">
      <alignment vertical="center"/>
    </xf>
    <xf numFmtId="3" fontId="8" fillId="0" borderId="254" xfId="4" applyNumberFormat="1" applyBorder="1">
      <alignment vertical="center"/>
      <protection locked="0"/>
    </xf>
    <xf numFmtId="3" fontId="8" fillId="0" borderId="255" xfId="4" applyNumberFormat="1" applyBorder="1">
      <alignment vertical="center"/>
      <protection locked="0"/>
    </xf>
    <xf numFmtId="3" fontId="8" fillId="0" borderId="256" xfId="4" applyNumberFormat="1" applyBorder="1">
      <alignment vertical="center"/>
      <protection locked="0"/>
    </xf>
    <xf numFmtId="3" fontId="9" fillId="0" borderId="257" xfId="4" applyNumberFormat="1" applyFont="1" applyBorder="1">
      <alignment vertical="center"/>
      <protection locked="0"/>
    </xf>
    <xf numFmtId="3" fontId="9" fillId="0" borderId="258" xfId="4" applyNumberFormat="1" applyFont="1" applyBorder="1">
      <alignment vertical="center"/>
      <protection locked="0"/>
    </xf>
    <xf numFmtId="3" fontId="9" fillId="0" borderId="259" xfId="4" applyNumberFormat="1" applyFont="1" applyBorder="1">
      <alignment vertical="center"/>
      <protection locked="0"/>
    </xf>
    <xf numFmtId="3" fontId="8" fillId="0" borderId="260" xfId="4" applyNumberFormat="1" applyBorder="1">
      <alignment vertical="center"/>
      <protection locked="0"/>
    </xf>
    <xf numFmtId="3" fontId="8" fillId="0" borderId="258" xfId="4" applyNumberFormat="1" applyBorder="1">
      <alignment vertical="center"/>
      <protection locked="0"/>
    </xf>
    <xf numFmtId="3" fontId="9" fillId="0" borderId="261" xfId="2" applyNumberFormat="1" applyFill="1" applyBorder="1">
      <alignment vertical="center"/>
    </xf>
    <xf numFmtId="3" fontId="8" fillId="0" borderId="259" xfId="4" applyNumberFormat="1" applyBorder="1">
      <alignment vertical="center"/>
      <protection locked="0"/>
    </xf>
    <xf numFmtId="0" fontId="38" fillId="0" borderId="247" xfId="9" applyFont="1" applyFill="1" applyBorder="1" applyAlignment="1">
      <alignment vertical="center" wrapText="1"/>
    </xf>
    <xf numFmtId="3" fontId="39" fillId="0" borderId="251" xfId="2" applyNumberFormat="1" applyFont="1" applyFill="1" applyBorder="1">
      <alignment vertical="center"/>
    </xf>
    <xf numFmtId="3" fontId="43" fillId="0" borderId="248" xfId="4" applyNumberFormat="1" applyFont="1" applyBorder="1">
      <alignment vertical="center"/>
      <protection locked="0"/>
    </xf>
    <xf numFmtId="3" fontId="43" fillId="0" borderId="249" xfId="4" applyNumberFormat="1" applyFont="1" applyBorder="1">
      <alignment vertical="center"/>
      <protection locked="0"/>
    </xf>
    <xf numFmtId="3" fontId="44" fillId="0" borderId="235" xfId="2" applyNumberFormat="1" applyFont="1" applyFill="1" applyBorder="1">
      <alignment vertical="center"/>
    </xf>
    <xf numFmtId="0" fontId="16" fillId="0" borderId="262" xfId="9" applyFont="1" applyFill="1" applyBorder="1" applyAlignment="1">
      <alignment vertical="center" wrapText="1"/>
    </xf>
    <xf numFmtId="3" fontId="16" fillId="0" borderId="248" xfId="4" applyNumberFormat="1" applyFont="1" applyBorder="1">
      <alignment vertical="center"/>
      <protection locked="0"/>
    </xf>
    <xf numFmtId="3" fontId="16" fillId="0" borderId="249" xfId="4" applyNumberFormat="1" applyFont="1" applyBorder="1">
      <alignment vertical="center"/>
      <protection locked="0"/>
    </xf>
    <xf numFmtId="3" fontId="18" fillId="0" borderId="235" xfId="2" applyNumberFormat="1" applyFont="1" applyFill="1" applyBorder="1">
      <alignment vertical="center"/>
    </xf>
    <xf numFmtId="0" fontId="7" fillId="0" borderId="263" xfId="15" applyFill="1" applyBorder="1">
      <alignment horizontal="center" vertical="center"/>
    </xf>
    <xf numFmtId="3" fontId="14" fillId="0" borderId="264" xfId="2" applyNumberFormat="1" applyFont="1" applyFill="1" applyBorder="1">
      <alignment vertical="center"/>
    </xf>
    <xf numFmtId="3" fontId="14" fillId="0" borderId="265" xfId="2" applyNumberFormat="1" applyFont="1" applyFill="1" applyBorder="1">
      <alignment vertical="center"/>
    </xf>
    <xf numFmtId="3" fontId="14" fillId="0" borderId="266" xfId="2" applyNumberFormat="1" applyFont="1" applyFill="1" applyBorder="1">
      <alignment vertical="center"/>
    </xf>
    <xf numFmtId="3" fontId="14" fillId="0" borderId="267" xfId="2" applyNumberFormat="1" applyFont="1" applyFill="1" applyBorder="1">
      <alignment vertical="center"/>
    </xf>
    <xf numFmtId="0" fontId="26" fillId="0" borderId="51" xfId="0" applyFont="1" applyFill="1" applyBorder="1" applyAlignment="1">
      <alignment horizontal="center" vertical="center" textRotation="90"/>
    </xf>
    <xf numFmtId="0" fontId="21" fillId="0" borderId="49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6" fillId="0" borderId="165" xfId="0" applyFont="1" applyFill="1" applyBorder="1" applyAlignment="1">
      <alignment horizontal="center" vertical="center"/>
    </xf>
    <xf numFmtId="0" fontId="2" fillId="0" borderId="166" xfId="0" applyFont="1" applyFill="1" applyBorder="1" applyAlignment="1">
      <alignment horizontal="left"/>
    </xf>
    <xf numFmtId="0" fontId="13" fillId="0" borderId="269" xfId="15" applyFont="1" applyFill="1" applyBorder="1">
      <alignment horizontal="center" vertical="center"/>
    </xf>
    <xf numFmtId="0" fontId="13" fillId="0" borderId="244" xfId="13" applyFont="1" applyFill="1" applyBorder="1">
      <alignment horizontal="center" vertical="center" textRotation="90" wrapText="1"/>
    </xf>
    <xf numFmtId="0" fontId="13" fillId="0" borderId="270" xfId="13" applyFont="1" applyFill="1" applyBorder="1">
      <alignment horizontal="center" vertical="center" textRotation="90" wrapText="1"/>
    </xf>
    <xf numFmtId="0" fontId="13" fillId="0" borderId="246" xfId="13" applyFont="1" applyFill="1" applyBorder="1">
      <alignment horizontal="center" vertical="center" textRotation="90" wrapText="1"/>
    </xf>
    <xf numFmtId="0" fontId="21" fillId="0" borderId="220" xfId="0" applyFont="1" applyFill="1" applyBorder="1" applyAlignment="1">
      <alignment horizontal="center" vertical="center"/>
    </xf>
    <xf numFmtId="0" fontId="46" fillId="0" borderId="229" xfId="9" applyFont="1" applyFill="1" applyBorder="1">
      <alignment vertical="center"/>
    </xf>
    <xf numFmtId="3" fontId="46" fillId="0" borderId="230" xfId="4" applyNumberFormat="1" applyFont="1" applyFill="1" applyBorder="1">
      <alignment vertical="center"/>
      <protection locked="0"/>
    </xf>
    <xf numFmtId="3" fontId="46" fillId="0" borderId="249" xfId="4" applyNumberFormat="1" applyFont="1" applyFill="1" applyBorder="1">
      <alignment vertical="center"/>
      <protection locked="0"/>
    </xf>
    <xf numFmtId="3" fontId="46" fillId="0" borderId="253" xfId="2" applyNumberFormat="1" applyFont="1" applyFill="1" applyBorder="1">
      <alignment vertical="center"/>
    </xf>
    <xf numFmtId="3" fontId="46" fillId="0" borderId="235" xfId="2" applyNumberFormat="1" applyFont="1" applyFill="1" applyBorder="1">
      <alignment vertical="center"/>
    </xf>
    <xf numFmtId="0" fontId="46" fillId="0" borderId="272" xfId="9" applyFont="1" applyFill="1" applyBorder="1">
      <alignment vertical="center"/>
    </xf>
    <xf numFmtId="0" fontId="21" fillId="0" borderId="236" xfId="0" applyFont="1" applyFill="1" applyBorder="1" applyAlignment="1">
      <alignment horizontal="center" vertical="center"/>
    </xf>
    <xf numFmtId="0" fontId="35" fillId="0" borderId="273" xfId="9" applyFont="1" applyFill="1" applyBorder="1">
      <alignment vertical="center"/>
    </xf>
    <xf numFmtId="3" fontId="13" fillId="0" borderId="274" xfId="4" applyNumberFormat="1" applyFont="1" applyFill="1" applyBorder="1">
      <alignment vertical="center"/>
      <protection locked="0"/>
    </xf>
    <xf numFmtId="3" fontId="13" fillId="0" borderId="275" xfId="2" applyNumberFormat="1" applyFont="1" applyFill="1" applyBorder="1">
      <alignment vertical="center"/>
    </xf>
    <xf numFmtId="3" fontId="13" fillId="0" borderId="277" xfId="2" applyNumberFormat="1" applyFont="1" applyFill="1" applyBorder="1">
      <alignment vertical="center"/>
    </xf>
    <xf numFmtId="0" fontId="35" fillId="0" borderId="248" xfId="9" applyFont="1" applyFill="1" applyBorder="1">
      <alignment vertical="center"/>
    </xf>
    <xf numFmtId="3" fontId="46" fillId="0" borderId="278" xfId="4" applyNumberFormat="1" applyFont="1" applyFill="1" applyBorder="1">
      <alignment vertical="center"/>
      <protection locked="0"/>
    </xf>
    <xf numFmtId="3" fontId="46" fillId="0" borderId="278" xfId="2" applyNumberFormat="1" applyFont="1" applyFill="1" applyBorder="1">
      <alignment vertical="center"/>
    </xf>
    <xf numFmtId="3" fontId="46" fillId="0" borderId="279" xfId="2" applyNumberFormat="1" applyFont="1" applyFill="1" applyBorder="1">
      <alignment vertical="center"/>
    </xf>
    <xf numFmtId="0" fontId="46" fillId="0" borderId="229" xfId="9" applyFont="1" applyFill="1" applyBorder="1" applyAlignment="1">
      <alignment vertical="center" wrapText="1"/>
    </xf>
    <xf numFmtId="0" fontId="7" fillId="0" borderId="269" xfId="15" applyFill="1" applyBorder="1">
      <alignment horizontal="center" vertical="center"/>
    </xf>
    <xf numFmtId="0" fontId="8" fillId="0" borderId="280" xfId="9" applyFill="1" applyBorder="1">
      <alignment vertical="center"/>
    </xf>
    <xf numFmtId="3" fontId="9" fillId="0" borderId="235" xfId="2" applyNumberFormat="1" applyFill="1" applyBorder="1">
      <alignment vertical="center"/>
    </xf>
    <xf numFmtId="0" fontId="8" fillId="0" borderId="280" xfId="9" applyFill="1" applyBorder="1" applyAlignment="1">
      <alignment vertical="center" wrapText="1"/>
    </xf>
    <xf numFmtId="0" fontId="8" fillId="0" borderId="281" xfId="9" applyFill="1" applyBorder="1" applyAlignment="1">
      <alignment vertical="center" wrapText="1"/>
    </xf>
    <xf numFmtId="0" fontId="7" fillId="0" borderId="282" xfId="15" applyFill="1" applyBorder="1">
      <alignment horizontal="center" vertical="center"/>
    </xf>
    <xf numFmtId="3" fontId="14" fillId="0" borderId="283" xfId="2" applyNumberFormat="1" applyFont="1" applyFill="1" applyBorder="1">
      <alignment vertical="center"/>
    </xf>
    <xf numFmtId="3" fontId="14" fillId="0" borderId="277" xfId="2" applyNumberFormat="1" applyFont="1" applyFill="1" applyBorder="1">
      <alignment vertical="center"/>
    </xf>
    <xf numFmtId="0" fontId="6" fillId="0" borderId="166" xfId="0" applyFont="1" applyFill="1" applyBorder="1" applyAlignment="1">
      <alignment horizontal="left"/>
    </xf>
    <xf numFmtId="0" fontId="7" fillId="0" borderId="244" xfId="13" applyFill="1" applyBorder="1">
      <alignment horizontal="center" vertical="center" textRotation="90" wrapText="1"/>
    </xf>
    <xf numFmtId="0" fontId="7" fillId="0" borderId="270" xfId="13" applyFill="1" applyBorder="1">
      <alignment horizontal="center" vertical="center" textRotation="90" wrapText="1"/>
    </xf>
    <xf numFmtId="0" fontId="7" fillId="0" borderId="246" xfId="13" applyFill="1" applyBorder="1">
      <alignment horizontal="center" vertical="center" textRotation="90" wrapText="1"/>
    </xf>
    <xf numFmtId="3" fontId="8" fillId="0" borderId="249" xfId="4" applyNumberFormat="1" applyFill="1" applyBorder="1">
      <alignment vertical="center"/>
      <protection locked="0"/>
    </xf>
    <xf numFmtId="3" fontId="9" fillId="0" borderId="249" xfId="4" applyNumberFormat="1" applyFont="1" applyFill="1" applyBorder="1">
      <alignment vertical="center"/>
      <protection locked="0"/>
    </xf>
    <xf numFmtId="3" fontId="8" fillId="0" borderId="248" xfId="4" applyNumberFormat="1" applyFill="1" applyBorder="1">
      <alignment vertical="center"/>
      <protection locked="0"/>
    </xf>
    <xf numFmtId="1" fontId="11" fillId="0" borderId="274" xfId="4" applyFont="1" applyFill="1" applyBorder="1">
      <alignment vertical="center"/>
      <protection locked="0"/>
    </xf>
    <xf numFmtId="3" fontId="11" fillId="0" borderId="274" xfId="4" applyNumberFormat="1" applyFont="1" applyFill="1" applyBorder="1">
      <alignment vertical="center"/>
      <protection locked="0"/>
    </xf>
    <xf numFmtId="0" fontId="7" fillId="0" borderId="245" xfId="15" applyFill="1" applyBorder="1">
      <alignment horizontal="center" vertical="center"/>
    </xf>
    <xf numFmtId="0" fontId="7" fillId="0" borderId="284" xfId="15" applyFill="1" applyBorder="1">
      <alignment horizontal="center" vertical="center"/>
    </xf>
    <xf numFmtId="0" fontId="14" fillId="0" borderId="248" xfId="9" applyFont="1" applyFill="1" applyBorder="1">
      <alignment vertical="center"/>
    </xf>
    <xf numFmtId="0" fontId="9" fillId="0" borderId="248" xfId="9" applyFont="1" applyFill="1" applyBorder="1">
      <alignment vertical="center"/>
    </xf>
    <xf numFmtId="0" fontId="9" fillId="0" borderId="248" xfId="9" applyFont="1" applyFill="1" applyBorder="1" applyAlignment="1">
      <alignment vertical="center" wrapText="1"/>
    </xf>
    <xf numFmtId="0" fontId="14" fillId="0" borderId="287" xfId="9" applyFont="1" applyFill="1" applyBorder="1">
      <alignment vertical="center"/>
    </xf>
    <xf numFmtId="0" fontId="26" fillId="0" borderId="220" xfId="7" applyFont="1" applyFill="1" applyBorder="1" applyAlignment="1">
      <alignment horizontal="center" vertical="center"/>
    </xf>
    <xf numFmtId="3" fontId="14" fillId="0" borderId="285" xfId="4" applyNumberFormat="1" applyFont="1" applyFill="1" applyBorder="1">
      <alignment vertical="center"/>
      <protection locked="0"/>
    </xf>
    <xf numFmtId="3" fontId="14" fillId="0" borderId="286" xfId="4" applyNumberFormat="1" applyFont="1" applyFill="1" applyBorder="1">
      <alignment vertical="center"/>
      <protection locked="0"/>
    </xf>
    <xf numFmtId="3" fontId="9" fillId="0" borderId="285" xfId="4" applyNumberFormat="1" applyFont="1" applyFill="1" applyBorder="1">
      <alignment vertical="center"/>
      <protection locked="0"/>
    </xf>
    <xf numFmtId="3" fontId="9" fillId="0" borderId="286" xfId="4" applyNumberFormat="1" applyFont="1" applyFill="1" applyBorder="1">
      <alignment vertical="center"/>
      <protection locked="0"/>
    </xf>
    <xf numFmtId="0" fontId="26" fillId="0" borderId="236" xfId="7" applyFont="1" applyFill="1" applyBorder="1" applyAlignment="1">
      <alignment horizontal="center" vertical="center"/>
    </xf>
    <xf numFmtId="0" fontId="26" fillId="0" borderId="50" xfId="7" applyFont="1" applyFill="1" applyBorder="1" applyAlignment="1">
      <alignment horizontal="center" vertical="center"/>
    </xf>
    <xf numFmtId="3" fontId="14" fillId="0" borderId="288" xfId="4" applyNumberFormat="1" applyFont="1" applyFill="1" applyBorder="1">
      <alignment vertical="center"/>
      <protection locked="0"/>
    </xf>
    <xf numFmtId="3" fontId="14" fillId="0" borderId="289" xfId="4" applyNumberFormat="1" applyFont="1" applyFill="1" applyBorder="1">
      <alignment vertical="center"/>
      <protection locked="0"/>
    </xf>
    <xf numFmtId="0" fontId="18" fillId="0" borderId="229" xfId="9" applyFont="1" applyFill="1" applyBorder="1" applyAlignment="1">
      <alignment vertical="center" wrapText="1"/>
    </xf>
    <xf numFmtId="0" fontId="11" fillId="0" borderId="293" xfId="9" applyFont="1" applyFill="1" applyBorder="1">
      <alignment vertical="center"/>
    </xf>
    <xf numFmtId="0" fontId="11" fillId="0" borderId="273" xfId="9" applyFont="1" applyFill="1" applyBorder="1">
      <alignment vertical="center"/>
    </xf>
    <xf numFmtId="3" fontId="9" fillId="0" borderId="290" xfId="4" applyNumberFormat="1" applyFont="1" applyFill="1" applyBorder="1">
      <alignment vertical="center"/>
      <protection locked="0"/>
    </xf>
    <xf numFmtId="3" fontId="9" fillId="0" borderId="291" xfId="4" applyNumberFormat="1" applyFont="1" applyFill="1" applyBorder="1">
      <alignment vertical="center"/>
      <protection locked="0"/>
    </xf>
    <xf numFmtId="3" fontId="9" fillId="0" borderId="40" xfId="4" applyNumberFormat="1" applyFont="1" applyFill="1" applyBorder="1">
      <alignment vertical="center"/>
      <protection locked="0"/>
    </xf>
    <xf numFmtId="3" fontId="9" fillId="0" borderId="248" xfId="4" applyNumberFormat="1" applyFont="1" applyFill="1" applyBorder="1">
      <alignment vertical="center"/>
      <protection locked="0"/>
    </xf>
    <xf numFmtId="0" fontId="26" fillId="0" borderId="292" xfId="0" applyFont="1" applyFill="1" applyBorder="1" applyAlignment="1">
      <alignment horizontal="center" vertical="center"/>
    </xf>
    <xf numFmtId="3" fontId="11" fillId="0" borderId="294" xfId="4" applyNumberFormat="1" applyFont="1" applyFill="1" applyBorder="1">
      <alignment vertical="center"/>
      <protection locked="0"/>
    </xf>
    <xf numFmtId="3" fontId="11" fillId="0" borderId="295" xfId="4" applyNumberFormat="1" applyFont="1" applyFill="1" applyBorder="1">
      <alignment vertical="center"/>
      <protection locked="0"/>
    </xf>
    <xf numFmtId="0" fontId="28" fillId="0" borderId="49" xfId="0" applyFont="1" applyFill="1" applyBorder="1" applyAlignment="1">
      <alignment horizontal="center" vertical="center"/>
    </xf>
    <xf numFmtId="3" fontId="23" fillId="0" borderId="81" xfId="4" applyNumberFormat="1" applyFont="1" applyFill="1" applyBorder="1">
      <alignment vertical="center"/>
      <protection locked="0"/>
    </xf>
    <xf numFmtId="3" fontId="23" fillId="0" borderId="40" xfId="4" applyNumberFormat="1" applyFont="1" applyFill="1" applyBorder="1">
      <alignment vertical="center"/>
      <protection locked="0"/>
    </xf>
    <xf numFmtId="3" fontId="9" fillId="0" borderId="296" xfId="4" applyNumberFormat="1" applyFont="1" applyFill="1" applyBorder="1">
      <alignment vertical="center"/>
      <protection locked="0"/>
    </xf>
    <xf numFmtId="3" fontId="9" fillId="0" borderId="297" xfId="4" applyNumberFormat="1" applyFont="1" applyFill="1" applyBorder="1">
      <alignment vertical="center"/>
      <protection locked="0"/>
    </xf>
    <xf numFmtId="3" fontId="11" fillId="0" borderId="288" xfId="4" applyNumberFormat="1" applyFont="1" applyFill="1" applyBorder="1">
      <alignment vertical="center"/>
      <protection locked="0"/>
    </xf>
    <xf numFmtId="3" fontId="11" fillId="0" borderId="289" xfId="4" applyNumberFormat="1" applyFont="1" applyFill="1" applyBorder="1">
      <alignment vertical="center"/>
      <protection locked="0"/>
    </xf>
    <xf numFmtId="3" fontId="8" fillId="0" borderId="29" xfId="4" applyNumberFormat="1" applyFill="1" applyBorder="1">
      <alignment vertical="center"/>
      <protection locked="0"/>
    </xf>
    <xf numFmtId="0" fontId="26" fillId="0" borderId="4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3" fontId="26" fillId="0" borderId="24" xfId="0" applyNumberFormat="1" applyFont="1" applyFill="1" applyBorder="1" applyAlignment="1">
      <alignment vertical="center"/>
    </xf>
    <xf numFmtId="0" fontId="13" fillId="0" borderId="298" xfId="15" applyFont="1" applyFill="1" applyBorder="1">
      <alignment horizontal="center" vertical="center"/>
    </xf>
    <xf numFmtId="0" fontId="13" fillId="0" borderId="284" xfId="15" applyFont="1" applyFill="1" applyBorder="1">
      <alignment horizontal="center" vertical="center"/>
    </xf>
    <xf numFmtId="0" fontId="26" fillId="0" borderId="299" xfId="0" applyFont="1" applyFill="1" applyBorder="1" applyAlignment="1">
      <alignment horizontal="center" vertical="center"/>
    </xf>
    <xf numFmtId="3" fontId="9" fillId="0" borderId="280" xfId="4" applyNumberFormat="1" applyFont="1" applyFill="1" applyBorder="1">
      <alignment vertical="center"/>
      <protection locked="0"/>
    </xf>
    <xf numFmtId="3" fontId="9" fillId="0" borderId="300" xfId="4" applyNumberFormat="1" applyFont="1" applyFill="1" applyBorder="1">
      <alignment vertical="center"/>
      <protection locked="0"/>
    </xf>
    <xf numFmtId="0" fontId="8" fillId="0" borderId="301" xfId="9" applyFill="1" applyBorder="1">
      <alignment vertical="center"/>
    </xf>
    <xf numFmtId="3" fontId="9" fillId="0" borderId="302" xfId="4" applyNumberFormat="1" applyFont="1" applyFill="1" applyBorder="1">
      <alignment vertical="center"/>
      <protection locked="0"/>
    </xf>
    <xf numFmtId="0" fontId="12" fillId="0" borderId="303" xfId="0" applyFont="1" applyFill="1" applyBorder="1" applyAlignment="1">
      <alignment vertical="center"/>
    </xf>
    <xf numFmtId="3" fontId="9" fillId="0" borderId="303" xfId="4" applyNumberFormat="1" applyFont="1" applyFill="1" applyBorder="1">
      <alignment vertical="center"/>
      <protection locked="0"/>
    </xf>
    <xf numFmtId="3" fontId="9" fillId="0" borderId="304" xfId="4" applyNumberFormat="1" applyFont="1" applyFill="1" applyBorder="1">
      <alignment vertical="center"/>
      <protection locked="0"/>
    </xf>
    <xf numFmtId="0" fontId="11" fillId="0" borderId="305" xfId="9" applyFont="1" applyFill="1" applyBorder="1">
      <alignment vertical="center"/>
    </xf>
    <xf numFmtId="3" fontId="14" fillId="0" borderId="306" xfId="2" applyNumberFormat="1" applyFont="1" applyFill="1" applyBorder="1">
      <alignment vertical="center"/>
    </xf>
    <xf numFmtId="3" fontId="14" fillId="0" borderId="307" xfId="2" applyNumberFormat="1" applyFont="1" applyFill="1" applyBorder="1">
      <alignment vertical="center"/>
    </xf>
    <xf numFmtId="3" fontId="8" fillId="0" borderId="308" xfId="4" applyNumberFormat="1" applyFill="1" applyBorder="1">
      <alignment vertical="center"/>
      <protection locked="0"/>
    </xf>
    <xf numFmtId="0" fontId="8" fillId="0" borderId="309" xfId="9" applyFill="1" applyBorder="1">
      <alignment vertical="center"/>
    </xf>
    <xf numFmtId="3" fontId="8" fillId="0" borderId="310" xfId="4" applyNumberFormat="1" applyFill="1" applyBorder="1">
      <alignment vertical="center"/>
      <protection locked="0"/>
    </xf>
    <xf numFmtId="3" fontId="8" fillId="0" borderId="311" xfId="4" applyNumberFormat="1" applyFill="1" applyBorder="1">
      <alignment vertical="center"/>
      <protection locked="0"/>
    </xf>
    <xf numFmtId="0" fontId="8" fillId="0" borderId="312" xfId="9" applyFill="1" applyBorder="1">
      <alignment vertical="center"/>
    </xf>
    <xf numFmtId="3" fontId="8" fillId="0" borderId="313" xfId="4" applyNumberFormat="1" applyFill="1" applyBorder="1">
      <alignment vertical="center"/>
      <protection locked="0"/>
    </xf>
    <xf numFmtId="3" fontId="8" fillId="0" borderId="314" xfId="4" applyNumberFormat="1" applyFill="1" applyBorder="1">
      <alignment vertical="center"/>
      <protection locked="0"/>
    </xf>
    <xf numFmtId="0" fontId="32" fillId="0" borderId="305" xfId="9" applyFont="1" applyFill="1" applyBorder="1">
      <alignment vertical="center"/>
    </xf>
    <xf numFmtId="3" fontId="32" fillId="0" borderId="315" xfId="4" applyNumberFormat="1" applyFont="1" applyFill="1" applyBorder="1">
      <alignment vertical="center"/>
      <protection locked="0"/>
    </xf>
    <xf numFmtId="3" fontId="32" fillId="0" borderId="316" xfId="4" applyNumberFormat="1" applyFont="1" applyFill="1" applyBorder="1">
      <alignment vertical="center"/>
      <protection locked="0"/>
    </xf>
    <xf numFmtId="3" fontId="26" fillId="0" borderId="317" xfId="0" applyNumberFormat="1" applyFont="1" applyFill="1" applyBorder="1" applyAlignment="1">
      <alignment vertical="center"/>
    </xf>
    <xf numFmtId="49" fontId="32" fillId="0" borderId="290" xfId="9" applyNumberFormat="1" applyFont="1" applyFill="1" applyBorder="1">
      <alignment vertical="center"/>
    </xf>
    <xf numFmtId="0" fontId="8" fillId="0" borderId="281" xfId="9" applyFill="1" applyBorder="1">
      <alignment vertical="center"/>
    </xf>
    <xf numFmtId="0" fontId="9" fillId="0" borderId="303" xfId="9" applyFont="1" applyFill="1" applyBorder="1" applyAlignment="1">
      <alignment vertical="center" wrapText="1"/>
    </xf>
    <xf numFmtId="0" fontId="32" fillId="0" borderId="322" xfId="9" applyFont="1" applyFill="1" applyBorder="1">
      <alignment vertical="center"/>
    </xf>
    <xf numFmtId="0" fontId="16" fillId="0" borderId="301" xfId="9" applyFont="1" applyFill="1" applyBorder="1">
      <alignment vertical="center"/>
    </xf>
    <xf numFmtId="0" fontId="32" fillId="0" borderId="229" xfId="9" applyFont="1" applyFill="1" applyBorder="1">
      <alignment vertical="center"/>
    </xf>
    <xf numFmtId="0" fontId="32" fillId="0" borderId="273" xfId="9" applyFont="1" applyFill="1" applyBorder="1" applyAlignment="1">
      <alignment horizontal="center" vertical="center"/>
    </xf>
    <xf numFmtId="3" fontId="18" fillId="0" borderId="318" xfId="4" applyNumberFormat="1" applyFont="1" applyFill="1" applyBorder="1">
      <alignment vertical="center"/>
      <protection locked="0"/>
    </xf>
    <xf numFmtId="3" fontId="18" fillId="0" borderId="319" xfId="4" applyNumberFormat="1" applyFont="1" applyFill="1" applyBorder="1">
      <alignment vertical="center"/>
      <protection locked="0"/>
    </xf>
    <xf numFmtId="3" fontId="9" fillId="0" borderId="320" xfId="4" applyNumberFormat="1" applyFont="1" applyFill="1" applyBorder="1">
      <alignment vertical="center"/>
      <protection locked="0"/>
    </xf>
    <xf numFmtId="3" fontId="9" fillId="0" borderId="321" xfId="4" applyNumberFormat="1" applyFont="1" applyFill="1" applyBorder="1">
      <alignment vertical="center"/>
      <protection locked="0"/>
    </xf>
    <xf numFmtId="3" fontId="18" fillId="0" borderId="320" xfId="4" applyNumberFormat="1" applyFont="1" applyFill="1" applyBorder="1">
      <alignment vertical="center"/>
      <protection locked="0"/>
    </xf>
    <xf numFmtId="3" fontId="18" fillId="0" borderId="321" xfId="4" applyNumberFormat="1" applyFont="1" applyFill="1" applyBorder="1">
      <alignment vertical="center"/>
      <protection locked="0"/>
    </xf>
    <xf numFmtId="3" fontId="18" fillId="0" borderId="296" xfId="4" applyNumberFormat="1" applyFont="1" applyFill="1" applyBorder="1">
      <alignment vertical="center"/>
      <protection locked="0"/>
    </xf>
    <xf numFmtId="3" fontId="18" fillId="0" borderId="297" xfId="4" applyNumberFormat="1" applyFont="1" applyFill="1" applyBorder="1">
      <alignment vertical="center"/>
      <protection locked="0"/>
    </xf>
    <xf numFmtId="3" fontId="27" fillId="0" borderId="323" xfId="4" applyNumberFormat="1" applyFont="1" applyFill="1" applyBorder="1">
      <alignment vertical="center"/>
      <protection locked="0"/>
    </xf>
    <xf numFmtId="3" fontId="27" fillId="0" borderId="324" xfId="4" applyNumberFormat="1" applyFont="1" applyFill="1" applyBorder="1">
      <alignment vertical="center"/>
      <protection locked="0"/>
    </xf>
    <xf numFmtId="0" fontId="26" fillId="0" borderId="7" xfId="0" applyFont="1" applyFill="1" applyBorder="1" applyAlignment="1">
      <alignment horizontal="center" vertical="center"/>
    </xf>
    <xf numFmtId="3" fontId="9" fillId="0" borderId="18" xfId="4" applyNumberFormat="1" applyFont="1" applyFill="1" applyBorder="1">
      <alignment vertical="center"/>
      <protection locked="0"/>
    </xf>
    <xf numFmtId="3" fontId="9" fillId="0" borderId="325" xfId="4" applyNumberFormat="1" applyFont="1" applyFill="1" applyBorder="1">
      <alignment vertical="center"/>
      <protection locked="0"/>
    </xf>
    <xf numFmtId="3" fontId="9" fillId="0" borderId="326" xfId="4" applyNumberFormat="1" applyFont="1" applyFill="1" applyBorder="1">
      <alignment vertical="center"/>
      <protection locked="0"/>
    </xf>
    <xf numFmtId="3" fontId="9" fillId="0" borderId="327" xfId="4" applyNumberFormat="1" applyFont="1" applyFill="1" applyBorder="1">
      <alignment vertical="center"/>
      <protection locked="0"/>
    </xf>
    <xf numFmtId="3" fontId="27" fillId="0" borderId="230" xfId="4" applyNumberFormat="1" applyFont="1" applyFill="1" applyBorder="1">
      <alignment vertical="center"/>
      <protection locked="0"/>
    </xf>
    <xf numFmtId="3" fontId="27" fillId="0" borderId="328" xfId="4" applyNumberFormat="1" applyFont="1" applyFill="1" applyBorder="1">
      <alignment vertical="center"/>
      <protection locked="0"/>
    </xf>
    <xf numFmtId="3" fontId="14" fillId="0" borderId="239" xfId="4" applyNumberFormat="1" applyFont="1" applyFill="1" applyBorder="1">
      <alignment vertical="center"/>
      <protection locked="0"/>
    </xf>
    <xf numFmtId="3" fontId="14" fillId="0" borderId="329" xfId="4" applyNumberFormat="1" applyFont="1" applyFill="1" applyBorder="1">
      <alignment vertical="center"/>
      <protection locked="0"/>
    </xf>
    <xf numFmtId="0" fontId="32" fillId="0" borderId="75" xfId="9" applyFont="1" applyFill="1" applyBorder="1">
      <alignment vertical="center"/>
    </xf>
    <xf numFmtId="0" fontId="8" fillId="0" borderId="332" xfId="9" applyFill="1" applyBorder="1">
      <alignment vertical="center"/>
    </xf>
    <xf numFmtId="0" fontId="8" fillId="0" borderId="332" xfId="9" applyFill="1" applyBorder="1" applyAlignment="1">
      <alignment vertical="center" wrapText="1"/>
    </xf>
    <xf numFmtId="0" fontId="9" fillId="0" borderId="280" xfId="9" applyFont="1" applyFill="1" applyBorder="1" applyAlignment="1">
      <alignment vertical="center" wrapText="1"/>
    </xf>
    <xf numFmtId="3" fontId="18" fillId="0" borderId="75" xfId="4" applyNumberFormat="1" applyFont="1" applyFill="1" applyBorder="1">
      <alignment vertical="center"/>
      <protection locked="0"/>
    </xf>
    <xf numFmtId="3" fontId="9" fillId="0" borderId="59" xfId="4" applyNumberFormat="1" applyFont="1" applyFill="1" applyBorder="1">
      <alignment vertical="center"/>
      <protection locked="0"/>
    </xf>
    <xf numFmtId="3" fontId="18" fillId="0" borderId="330" xfId="4" applyNumberFormat="1" applyFont="1" applyFill="1" applyBorder="1">
      <alignment vertical="center"/>
      <protection locked="0"/>
    </xf>
    <xf numFmtId="3" fontId="18" fillId="0" borderId="331" xfId="4" applyNumberFormat="1" applyFont="1" applyFill="1" applyBorder="1">
      <alignment vertical="center"/>
      <protection locked="0"/>
    </xf>
    <xf numFmtId="3" fontId="18" fillId="0" borderId="333" xfId="4" applyNumberFormat="1" applyFont="1" applyFill="1" applyBorder="1">
      <alignment vertical="center"/>
      <protection locked="0"/>
    </xf>
    <xf numFmtId="3" fontId="18" fillId="0" borderId="286" xfId="4" applyNumberFormat="1" applyFont="1" applyFill="1" applyBorder="1">
      <alignment vertical="center"/>
      <protection locked="0"/>
    </xf>
    <xf numFmtId="3" fontId="18" fillId="0" borderId="301" xfId="4" applyNumberFormat="1" applyFont="1" applyFill="1" applyBorder="1">
      <alignment vertical="center"/>
      <protection locked="0"/>
    </xf>
    <xf numFmtId="3" fontId="18" fillId="0" borderId="334" xfId="4" applyNumberFormat="1" applyFont="1" applyFill="1" applyBorder="1">
      <alignment vertical="center"/>
      <protection locked="0"/>
    </xf>
    <xf numFmtId="3" fontId="18" fillId="0" borderId="0" xfId="4" applyNumberFormat="1" applyFont="1" applyFill="1" applyBorder="1">
      <alignment vertical="center"/>
      <protection locked="0"/>
    </xf>
    <xf numFmtId="0" fontId="9" fillId="0" borderId="301" xfId="9" applyFont="1" applyFill="1" applyBorder="1">
      <alignment vertical="center"/>
    </xf>
    <xf numFmtId="0" fontId="9" fillId="0" borderId="301" xfId="9" applyFont="1" applyFill="1" applyBorder="1" applyAlignment="1">
      <alignment vertical="center" wrapText="1"/>
    </xf>
    <xf numFmtId="0" fontId="9" fillId="0" borderId="332" xfId="9" applyFont="1" applyFill="1" applyBorder="1" applyAlignment="1">
      <alignment vertical="center" wrapText="1"/>
    </xf>
    <xf numFmtId="3" fontId="18" fillId="0" borderId="335" xfId="4" applyNumberFormat="1" applyFont="1" applyFill="1" applyBorder="1">
      <alignment vertical="center"/>
      <protection locked="0"/>
    </xf>
    <xf numFmtId="3" fontId="9" fillId="0" borderId="334" xfId="4" applyNumberFormat="1" applyFont="1" applyFill="1" applyBorder="1">
      <alignment vertical="center"/>
      <protection locked="0"/>
    </xf>
    <xf numFmtId="3" fontId="9" fillId="0" borderId="336" xfId="4" applyNumberFormat="1" applyFont="1" applyFill="1" applyBorder="1">
      <alignment vertical="center"/>
      <protection locked="0"/>
    </xf>
    <xf numFmtId="3" fontId="14" fillId="0" borderId="337" xfId="4" applyNumberFormat="1" applyFont="1" applyFill="1" applyBorder="1">
      <alignment vertical="center"/>
      <protection locked="0"/>
    </xf>
    <xf numFmtId="0" fontId="13" fillId="0" borderId="123" xfId="15" applyFont="1" applyFill="1" applyBorder="1">
      <alignment horizontal="center" vertical="center"/>
    </xf>
    <xf numFmtId="0" fontId="20" fillId="0" borderId="124" xfId="0" applyFont="1" applyBorder="1"/>
    <xf numFmtId="0" fontId="20" fillId="0" borderId="125" xfId="0" applyFont="1" applyBorder="1"/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13" fillId="0" borderId="97" xfId="15" applyFont="1" applyFill="1" applyBorder="1">
      <alignment horizontal="center" vertical="center"/>
    </xf>
    <xf numFmtId="0" fontId="0" fillId="0" borderId="65" xfId="0" applyBorder="1" applyAlignment="1">
      <alignment horizontal="center" vertical="center"/>
    </xf>
    <xf numFmtId="0" fontId="13" fillId="0" borderId="98" xfId="15" applyFont="1" applyFill="1" applyBorder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65" xfId="15" applyFont="1" applyFill="1" applyBorder="1">
      <alignment horizontal="center" vertical="center"/>
    </xf>
    <xf numFmtId="0" fontId="13" fillId="0" borderId="128" xfId="15" applyFont="1" applyFill="1" applyBorder="1">
      <alignment horizontal="center" vertical="center"/>
    </xf>
    <xf numFmtId="0" fontId="13" fillId="0" borderId="131" xfId="15" applyFont="1" applyFill="1" applyBorder="1">
      <alignment horizontal="center" vertical="center"/>
    </xf>
    <xf numFmtId="0" fontId="7" fillId="0" borderId="148" xfId="15" applyFill="1" applyBorder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66" xfId="15" applyFill="1" applyBorder="1">
      <alignment horizontal="center" vertical="center"/>
    </xf>
    <xf numFmtId="0" fontId="0" fillId="0" borderId="54" xfId="0" applyBorder="1"/>
    <xf numFmtId="0" fontId="7" fillId="0" borderId="167" xfId="10" applyFill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26" fillId="0" borderId="165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Fill="1" applyBorder="1"/>
    <xf numFmtId="0" fontId="7" fillId="0" borderId="175" xfId="10" applyFill="1" applyBorder="1" applyAlignment="1">
      <alignment horizontal="center" vertical="center"/>
    </xf>
    <xf numFmtId="0" fontId="0" fillId="0" borderId="176" xfId="0" applyFill="1" applyBorder="1" applyAlignment="1">
      <alignment horizontal="center" vertical="center"/>
    </xf>
    <xf numFmtId="0" fontId="26" fillId="0" borderId="165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13" fillId="0" borderId="175" xfId="10" applyFont="1" applyFill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17" xfId="0" applyFill="1" applyBorder="1"/>
    <xf numFmtId="0" fontId="10" fillId="0" borderId="175" xfId="1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1" fillId="0" borderId="69" xfId="0" applyFont="1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21" fillId="0" borderId="205" xfId="0" applyFont="1" applyFill="1" applyBorder="1" applyAlignment="1">
      <alignment horizontal="center"/>
    </xf>
    <xf numFmtId="0" fontId="21" fillId="0" borderId="206" xfId="0" applyFont="1" applyFill="1" applyBorder="1" applyAlignment="1">
      <alignment horizontal="center"/>
    </xf>
    <xf numFmtId="0" fontId="21" fillId="0" borderId="207" xfId="0" applyFont="1" applyFill="1" applyBorder="1" applyAlignment="1">
      <alignment horizontal="center"/>
    </xf>
    <xf numFmtId="0" fontId="21" fillId="0" borderId="61" xfId="0" applyFont="1" applyFill="1" applyBorder="1" applyAlignment="1">
      <alignment horizontal="center"/>
    </xf>
    <xf numFmtId="0" fontId="21" fillId="0" borderId="212" xfId="0" applyFont="1" applyFill="1" applyBorder="1" applyAlignment="1">
      <alignment horizontal="center"/>
    </xf>
    <xf numFmtId="0" fontId="21" fillId="0" borderId="213" xfId="0" applyFont="1" applyFill="1" applyBorder="1" applyAlignment="1">
      <alignment horizontal="center"/>
    </xf>
    <xf numFmtId="0" fontId="21" fillId="0" borderId="77" xfId="0" applyFont="1" applyFill="1" applyBorder="1" applyAlignment="1">
      <alignment horizontal="center"/>
    </xf>
    <xf numFmtId="0" fontId="21" fillId="0" borderId="78" xfId="0" applyFont="1" applyFill="1" applyBorder="1" applyAlignment="1">
      <alignment horizontal="center"/>
    </xf>
    <xf numFmtId="0" fontId="0" fillId="0" borderId="125" xfId="0" applyFill="1" applyBorder="1" applyAlignment="1">
      <alignment horizontal="center" vertical="center"/>
    </xf>
    <xf numFmtId="0" fontId="26" fillId="0" borderId="148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10" fillId="0" borderId="124" xfId="10" applyFont="1" applyFill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0" fillId="0" borderId="167" xfId="10" applyFont="1" applyFill="1" applyBorder="1" applyAlignment="1">
      <alignment horizontal="center" vertical="center"/>
    </xf>
    <xf numFmtId="0" fontId="19" fillId="0" borderId="167" xfId="10" applyFont="1" applyFill="1" applyBorder="1" applyAlignment="1">
      <alignment horizontal="center" vertical="center"/>
    </xf>
    <xf numFmtId="0" fontId="20" fillId="0" borderId="125" xfId="0" applyFont="1" applyFill="1" applyBorder="1" applyAlignment="1">
      <alignment horizontal="center" vertical="center"/>
    </xf>
    <xf numFmtId="0" fontId="19" fillId="0" borderId="124" xfId="10" applyFont="1" applyFill="1" applyBorder="1" applyAlignment="1">
      <alignment horizontal="center" vertical="center"/>
    </xf>
    <xf numFmtId="0" fontId="19" fillId="0" borderId="268" xfId="10" applyFont="1" applyFill="1" applyBorder="1" applyAlignment="1">
      <alignment horizontal="center" vertical="center"/>
    </xf>
    <xf numFmtId="0" fontId="19" fillId="0" borderId="125" xfId="10" applyFont="1" applyFill="1" applyBorder="1" applyAlignment="1">
      <alignment horizontal="center" vertical="center"/>
    </xf>
    <xf numFmtId="0" fontId="21" fillId="0" borderId="148" xfId="0" applyFont="1" applyFill="1" applyBorder="1" applyAlignment="1">
      <alignment horizontal="center" vertical="center" textRotation="90"/>
    </xf>
    <xf numFmtId="0" fontId="0" fillId="0" borderId="124" xfId="0" applyFill="1" applyBorder="1" applyAlignment="1">
      <alignment horizontal="center" vertical="center"/>
    </xf>
    <xf numFmtId="0" fontId="0" fillId="0" borderId="268" xfId="0" applyFill="1" applyBorder="1" applyAlignment="1">
      <alignment horizontal="center" vertical="center"/>
    </xf>
    <xf numFmtId="0" fontId="40" fillId="0" borderId="148" xfId="7" applyFont="1" applyFill="1" applyBorder="1" applyAlignment="1">
      <alignment horizontal="center" vertical="center"/>
    </xf>
    <xf numFmtId="0" fontId="40" fillId="0" borderId="55" xfId="0" applyFont="1" applyFill="1" applyBorder="1" applyAlignment="1">
      <alignment horizontal="center" vertical="center"/>
    </xf>
    <xf numFmtId="0" fontId="39" fillId="0" borderId="122" xfId="15" applyFont="1" applyFill="1" applyBorder="1">
      <alignment horizontal="center" vertical="center"/>
    </xf>
    <xf numFmtId="0" fontId="41" fillId="0" borderId="56" xfId="7" applyFont="1" applyFill="1" applyBorder="1" applyAlignment="1">
      <alignment horizontal="center" vertical="center"/>
    </xf>
    <xf numFmtId="0" fontId="10" fillId="0" borderId="167" xfId="15" applyFont="1" applyFill="1" applyBorder="1">
      <alignment horizontal="center" vertical="center"/>
    </xf>
    <xf numFmtId="0" fontId="21" fillId="0" borderId="148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19" fillId="0" borderId="167" xfId="15" applyFont="1" applyFill="1" applyBorder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52" fillId="0" borderId="165" xfId="0" applyFont="1" applyFill="1" applyBorder="1" applyAlignment="1">
      <alignment horizontal="center" vertical="center"/>
    </xf>
    <xf numFmtId="0" fontId="53" fillId="0" borderId="166" xfId="0" applyFont="1" applyFill="1" applyBorder="1" applyAlignment="1">
      <alignment horizontal="left"/>
    </xf>
    <xf numFmtId="0" fontId="34" fillId="0" borderId="167" xfId="10" applyFont="1" applyFill="1" applyBorder="1" applyAlignment="1">
      <alignment horizontal="center" vertical="center"/>
    </xf>
    <xf numFmtId="0" fontId="30" fillId="0" borderId="124" xfId="0" applyFont="1" applyFill="1" applyBorder="1" applyAlignment="1">
      <alignment horizontal="center" vertical="center"/>
    </xf>
    <xf numFmtId="0" fontId="30" fillId="0" borderId="268" xfId="0" applyFont="1" applyFill="1" applyBorder="1" applyAlignment="1">
      <alignment horizontal="center" vertical="center"/>
    </xf>
    <xf numFmtId="0" fontId="30" fillId="0" borderId="125" xfId="0" applyFont="1" applyFill="1" applyBorder="1" applyAlignment="1">
      <alignment horizontal="center" vertical="center"/>
    </xf>
    <xf numFmtId="0" fontId="52" fillId="0" borderId="51" xfId="0" applyFont="1" applyFill="1" applyBorder="1" applyAlignment="1">
      <alignment horizontal="center" vertical="center" textRotation="90"/>
    </xf>
    <xf numFmtId="0" fontId="34" fillId="0" borderId="269" xfId="15" applyFont="1" applyFill="1" applyBorder="1">
      <alignment horizontal="center" vertical="center"/>
    </xf>
    <xf numFmtId="0" fontId="34" fillId="0" borderId="244" xfId="13" applyFont="1" applyFill="1" applyBorder="1">
      <alignment horizontal="center" vertical="center" textRotation="90" wrapText="1"/>
    </xf>
    <xf numFmtId="0" fontId="34" fillId="0" borderId="270" xfId="13" applyFont="1" applyFill="1" applyBorder="1">
      <alignment horizontal="center" vertical="center" textRotation="90" wrapText="1"/>
    </xf>
    <xf numFmtId="0" fontId="34" fillId="0" borderId="246" xfId="13" applyFont="1" applyFill="1" applyBorder="1">
      <alignment horizontal="center" vertical="center" textRotation="90" wrapText="1"/>
    </xf>
    <xf numFmtId="0" fontId="52" fillId="0" borderId="49" xfId="0" applyFont="1" applyFill="1" applyBorder="1" applyAlignment="1">
      <alignment horizontal="center" vertical="center"/>
    </xf>
    <xf numFmtId="0" fontId="54" fillId="0" borderId="0" xfId="9" applyFont="1" applyFill="1" applyBorder="1">
      <alignment vertical="center"/>
    </xf>
    <xf numFmtId="3" fontId="55" fillId="0" borderId="62" xfId="4" applyNumberFormat="1" applyFont="1" applyFill="1" applyBorder="1">
      <alignment vertical="center"/>
      <protection locked="0"/>
    </xf>
    <xf numFmtId="3" fontId="55" fillId="0" borderId="62" xfId="2" applyNumberFormat="1" applyFont="1" applyFill="1" applyBorder="1">
      <alignment vertical="center"/>
    </xf>
    <xf numFmtId="3" fontId="55" fillId="0" borderId="271" xfId="2" applyNumberFormat="1" applyFont="1" applyFill="1" applyBorder="1">
      <alignment vertical="center"/>
    </xf>
    <xf numFmtId="0" fontId="52" fillId="0" borderId="220" xfId="0" applyFont="1" applyFill="1" applyBorder="1" applyAlignment="1">
      <alignment horizontal="center" vertical="center"/>
    </xf>
    <xf numFmtId="0" fontId="55" fillId="0" borderId="229" xfId="9" applyFont="1" applyFill="1" applyBorder="1">
      <alignment vertical="center"/>
    </xf>
    <xf numFmtId="3" fontId="55" fillId="0" borderId="230" xfId="4" applyNumberFormat="1" applyFont="1" applyFill="1" applyBorder="1">
      <alignment vertical="center"/>
      <protection locked="0"/>
    </xf>
    <xf numFmtId="3" fontId="55" fillId="0" borderId="249" xfId="4" applyNumberFormat="1" applyFont="1" applyFill="1" applyBorder="1">
      <alignment vertical="center"/>
      <protection locked="0"/>
    </xf>
    <xf numFmtId="3" fontId="55" fillId="0" borderId="253" xfId="2" applyNumberFormat="1" applyFont="1" applyFill="1" applyBorder="1">
      <alignment vertical="center"/>
    </xf>
    <xf numFmtId="3" fontId="55" fillId="0" borderId="235" xfId="2" applyNumberFormat="1" applyFont="1" applyFill="1" applyBorder="1">
      <alignment vertical="center"/>
    </xf>
    <xf numFmtId="0" fontId="55" fillId="0" borderId="272" xfId="9" applyFont="1" applyFill="1" applyBorder="1">
      <alignment vertical="center"/>
    </xf>
    <xf numFmtId="0" fontId="52" fillId="0" borderId="236" xfId="0" applyFont="1" applyFill="1" applyBorder="1" applyAlignment="1">
      <alignment horizontal="center" vertical="center"/>
    </xf>
    <xf numFmtId="0" fontId="56" fillId="0" borderId="248" xfId="9" applyFont="1" applyFill="1" applyBorder="1">
      <alignment vertical="center"/>
    </xf>
    <xf numFmtId="0" fontId="52" fillId="0" borderId="50" xfId="0" applyFont="1" applyFill="1" applyBorder="1" applyAlignment="1">
      <alignment horizontal="center" vertical="center"/>
    </xf>
    <xf numFmtId="0" fontId="54" fillId="0" borderId="273" xfId="9" applyFont="1" applyFill="1" applyBorder="1">
      <alignment vertical="center"/>
    </xf>
    <xf numFmtId="3" fontId="34" fillId="0" borderId="274" xfId="4" applyNumberFormat="1" applyFont="1" applyFill="1" applyBorder="1">
      <alignment vertical="center"/>
      <protection locked="0"/>
    </xf>
    <xf numFmtId="3" fontId="34" fillId="0" borderId="275" xfId="2" applyNumberFormat="1" applyFont="1" applyFill="1" applyBorder="1">
      <alignment vertical="center"/>
    </xf>
    <xf numFmtId="3" fontId="34" fillId="0" borderId="274" xfId="0" applyNumberFormat="1" applyFont="1" applyFill="1" applyBorder="1" applyAlignment="1">
      <alignment vertical="center"/>
    </xf>
    <xf numFmtId="3" fontId="34" fillId="0" borderId="276" xfId="4" applyNumberFormat="1" applyFont="1" applyFill="1" applyBorder="1">
      <alignment vertical="center"/>
      <protection locked="0"/>
    </xf>
    <xf numFmtId="3" fontId="34" fillId="0" borderId="277" xfId="2" applyNumberFormat="1" applyFont="1" applyFill="1" applyBorder="1">
      <alignment vertical="center"/>
    </xf>
  </cellXfs>
  <cellStyles count="27">
    <cellStyle name="Egész" xfId="1"/>
    <cellStyle name="Egész,10" xfId="2"/>
    <cellStyle name="Egész_kv.2013végleges" xfId="3"/>
    <cellStyle name="Irható,egész,10" xfId="4"/>
    <cellStyle name="Nem használt" xfId="5"/>
    <cellStyle name="Normál" xfId="0" builtinId="0"/>
    <cellStyle name="Normál 2" xfId="21"/>
    <cellStyle name="Normál 2 2" xfId="22"/>
    <cellStyle name="Normál_2004. évi állami hozzájárulás (MÁK 2003.x.31.)" xfId="6"/>
    <cellStyle name="Normál_2012%20évi%20%20költségvetés.mell.ÖNK-PH(1)" xfId="7"/>
    <cellStyle name="Százalék(2),10" xfId="8"/>
    <cellStyle name="Szöveg balra,10" xfId="9"/>
    <cellStyle name="Szöveg balra,10 2" xfId="24"/>
    <cellStyle name="Szöveg balra,10 2 2" xfId="26"/>
    <cellStyle name="Szöveg balra,12" xfId="10"/>
    <cellStyle name="Szöveg balra,16" xfId="11"/>
    <cellStyle name="Szöveg balra,sortör.,10" xfId="12"/>
    <cellStyle name="Szöveg függ.,12" xfId="13"/>
    <cellStyle name="Szöveg közép,10" xfId="14"/>
    <cellStyle name="Szöveg középen,12" xfId="15"/>
    <cellStyle name="Szöveg középen,12 2" xfId="23"/>
    <cellStyle name="Szöveg középen,12 2 2" xfId="25"/>
    <cellStyle name="Szöveg,függ,12" xfId="16"/>
    <cellStyle name="Tört(1) irható,10" xfId="17"/>
    <cellStyle name="Tört(1),10" xfId="18"/>
    <cellStyle name="Üres" xfId="19"/>
    <cellStyle name="Üres, szegéllyel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6933C"/>
      <color rgb="FFE7E985"/>
      <color rgb="FFDDDF8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45" name="AutoShape 1">
          <a:extLst>
            <a:ext uri="{FF2B5EF4-FFF2-40B4-BE49-F238E27FC236}">
              <a16:creationId xmlns:a16="http://schemas.microsoft.com/office/drawing/2014/main" id="{00000000-0008-0000-0800-0000C1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46" name="AutoShape 2">
          <a:extLst>
            <a:ext uri="{FF2B5EF4-FFF2-40B4-BE49-F238E27FC236}">
              <a16:creationId xmlns:a16="http://schemas.microsoft.com/office/drawing/2014/main" id="{00000000-0008-0000-0800-0000C20B0100}"/>
            </a:ext>
          </a:extLst>
        </xdr:cNvPr>
        <xdr:cNvSpPr>
          <a:spLocks/>
        </xdr:cNvSpPr>
      </xdr:nvSpPr>
      <xdr:spPr bwMode="auto">
        <a:xfrm>
          <a:off x="0" y="29689425"/>
          <a:ext cx="0" cy="5619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47" name="AutoShape 3">
          <a:extLst>
            <a:ext uri="{FF2B5EF4-FFF2-40B4-BE49-F238E27FC236}">
              <a16:creationId xmlns:a16="http://schemas.microsoft.com/office/drawing/2014/main" id="{00000000-0008-0000-0800-0000C30B0100}"/>
            </a:ext>
          </a:extLst>
        </xdr:cNvPr>
        <xdr:cNvSpPr>
          <a:spLocks/>
        </xdr:cNvSpPr>
      </xdr:nvSpPr>
      <xdr:spPr bwMode="auto">
        <a:xfrm>
          <a:off x="0" y="320706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48" name="AutoShape 4">
          <a:extLst>
            <a:ext uri="{FF2B5EF4-FFF2-40B4-BE49-F238E27FC236}">
              <a16:creationId xmlns:a16="http://schemas.microsoft.com/office/drawing/2014/main" id="{00000000-0008-0000-0800-0000C4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49" name="AutoShape 5">
          <a:extLst>
            <a:ext uri="{FF2B5EF4-FFF2-40B4-BE49-F238E27FC236}">
              <a16:creationId xmlns:a16="http://schemas.microsoft.com/office/drawing/2014/main" id="{00000000-0008-0000-0800-0000C50B0100}"/>
            </a:ext>
          </a:extLst>
        </xdr:cNvPr>
        <xdr:cNvSpPr>
          <a:spLocks/>
        </xdr:cNvSpPr>
      </xdr:nvSpPr>
      <xdr:spPr bwMode="auto">
        <a:xfrm>
          <a:off x="0" y="29689425"/>
          <a:ext cx="0" cy="5619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0" name="AutoShape 6">
          <a:extLst>
            <a:ext uri="{FF2B5EF4-FFF2-40B4-BE49-F238E27FC236}">
              <a16:creationId xmlns:a16="http://schemas.microsoft.com/office/drawing/2014/main" id="{00000000-0008-0000-0800-0000C6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1" name="AutoShape 7">
          <a:extLst>
            <a:ext uri="{FF2B5EF4-FFF2-40B4-BE49-F238E27FC236}">
              <a16:creationId xmlns:a16="http://schemas.microsoft.com/office/drawing/2014/main" id="{00000000-0008-0000-0800-0000C70B0100}"/>
            </a:ext>
          </a:extLst>
        </xdr:cNvPr>
        <xdr:cNvSpPr>
          <a:spLocks/>
        </xdr:cNvSpPr>
      </xdr:nvSpPr>
      <xdr:spPr bwMode="auto">
        <a:xfrm>
          <a:off x="0" y="29689425"/>
          <a:ext cx="0" cy="5619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2" name="AutoShape 8">
          <a:extLst>
            <a:ext uri="{FF2B5EF4-FFF2-40B4-BE49-F238E27FC236}">
              <a16:creationId xmlns:a16="http://schemas.microsoft.com/office/drawing/2014/main" id="{00000000-0008-0000-0800-0000C80B0100}"/>
            </a:ext>
          </a:extLst>
        </xdr:cNvPr>
        <xdr:cNvSpPr>
          <a:spLocks/>
        </xdr:cNvSpPr>
      </xdr:nvSpPr>
      <xdr:spPr bwMode="auto">
        <a:xfrm>
          <a:off x="0" y="320706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3" name="AutoShape 9">
          <a:extLst>
            <a:ext uri="{FF2B5EF4-FFF2-40B4-BE49-F238E27FC236}">
              <a16:creationId xmlns:a16="http://schemas.microsoft.com/office/drawing/2014/main" id="{00000000-0008-0000-0800-0000C90B0100}"/>
            </a:ext>
          </a:extLst>
        </xdr:cNvPr>
        <xdr:cNvSpPr>
          <a:spLocks/>
        </xdr:cNvSpPr>
      </xdr:nvSpPr>
      <xdr:spPr bwMode="auto">
        <a:xfrm>
          <a:off x="0" y="28270200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4" name="AutoShape 10">
          <a:extLst>
            <a:ext uri="{FF2B5EF4-FFF2-40B4-BE49-F238E27FC236}">
              <a16:creationId xmlns:a16="http://schemas.microsoft.com/office/drawing/2014/main" id="{00000000-0008-0000-0800-0000CA0B0100}"/>
            </a:ext>
          </a:extLst>
        </xdr:cNvPr>
        <xdr:cNvSpPr>
          <a:spLocks/>
        </xdr:cNvSpPr>
      </xdr:nvSpPr>
      <xdr:spPr bwMode="auto">
        <a:xfrm>
          <a:off x="0" y="29832300"/>
          <a:ext cx="0" cy="4191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5" name="AutoShape 11">
          <a:extLst>
            <a:ext uri="{FF2B5EF4-FFF2-40B4-BE49-F238E27FC236}">
              <a16:creationId xmlns:a16="http://schemas.microsoft.com/office/drawing/2014/main" id="{00000000-0008-0000-0800-0000CB0B0100}"/>
            </a:ext>
          </a:extLst>
        </xdr:cNvPr>
        <xdr:cNvSpPr>
          <a:spLocks/>
        </xdr:cNvSpPr>
      </xdr:nvSpPr>
      <xdr:spPr bwMode="auto">
        <a:xfrm>
          <a:off x="0" y="320706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6" name="AutoShape 12">
          <a:extLst>
            <a:ext uri="{FF2B5EF4-FFF2-40B4-BE49-F238E27FC236}">
              <a16:creationId xmlns:a16="http://schemas.microsoft.com/office/drawing/2014/main" id="{00000000-0008-0000-0800-0000CC0B0100}"/>
            </a:ext>
          </a:extLst>
        </xdr:cNvPr>
        <xdr:cNvSpPr>
          <a:spLocks/>
        </xdr:cNvSpPr>
      </xdr:nvSpPr>
      <xdr:spPr bwMode="auto">
        <a:xfrm>
          <a:off x="0" y="29756100"/>
          <a:ext cx="0" cy="4953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7" name="AutoShape 13">
          <a:extLst>
            <a:ext uri="{FF2B5EF4-FFF2-40B4-BE49-F238E27FC236}">
              <a16:creationId xmlns:a16="http://schemas.microsoft.com/office/drawing/2014/main" id="{00000000-0008-0000-0800-0000CD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8" name="AutoShape 14">
          <a:extLst>
            <a:ext uri="{FF2B5EF4-FFF2-40B4-BE49-F238E27FC236}">
              <a16:creationId xmlns:a16="http://schemas.microsoft.com/office/drawing/2014/main" id="{00000000-0008-0000-0800-0000CE0B0100}"/>
            </a:ext>
          </a:extLst>
        </xdr:cNvPr>
        <xdr:cNvSpPr>
          <a:spLocks/>
        </xdr:cNvSpPr>
      </xdr:nvSpPr>
      <xdr:spPr bwMode="auto">
        <a:xfrm>
          <a:off x="0" y="28270200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59" name="AutoShape 15">
          <a:extLst>
            <a:ext uri="{FF2B5EF4-FFF2-40B4-BE49-F238E27FC236}">
              <a16:creationId xmlns:a16="http://schemas.microsoft.com/office/drawing/2014/main" id="{00000000-0008-0000-0800-0000CF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0" name="AutoShape 16">
          <a:extLst>
            <a:ext uri="{FF2B5EF4-FFF2-40B4-BE49-F238E27FC236}">
              <a16:creationId xmlns:a16="http://schemas.microsoft.com/office/drawing/2014/main" id="{00000000-0008-0000-0800-0000D0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1" name="AutoShape 17">
          <a:extLst>
            <a:ext uri="{FF2B5EF4-FFF2-40B4-BE49-F238E27FC236}">
              <a16:creationId xmlns:a16="http://schemas.microsoft.com/office/drawing/2014/main" id="{00000000-0008-0000-0800-0000D1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2" name="AutoShape 18">
          <a:extLst>
            <a:ext uri="{FF2B5EF4-FFF2-40B4-BE49-F238E27FC236}">
              <a16:creationId xmlns:a16="http://schemas.microsoft.com/office/drawing/2014/main" id="{00000000-0008-0000-0800-0000D2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3" name="AutoShape 19">
          <a:extLst>
            <a:ext uri="{FF2B5EF4-FFF2-40B4-BE49-F238E27FC236}">
              <a16:creationId xmlns:a16="http://schemas.microsoft.com/office/drawing/2014/main" id="{00000000-0008-0000-0800-0000D3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4" name="AutoShape 20">
          <a:extLst>
            <a:ext uri="{FF2B5EF4-FFF2-40B4-BE49-F238E27FC236}">
              <a16:creationId xmlns:a16="http://schemas.microsoft.com/office/drawing/2014/main" id="{00000000-0008-0000-0800-0000D4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5" name="AutoShape 21">
          <a:extLst>
            <a:ext uri="{FF2B5EF4-FFF2-40B4-BE49-F238E27FC236}">
              <a16:creationId xmlns:a16="http://schemas.microsoft.com/office/drawing/2014/main" id="{00000000-0008-0000-0800-0000D5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6" name="AutoShape 26">
          <a:extLst>
            <a:ext uri="{FF2B5EF4-FFF2-40B4-BE49-F238E27FC236}">
              <a16:creationId xmlns:a16="http://schemas.microsoft.com/office/drawing/2014/main" id="{00000000-0008-0000-0800-0000D6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7" name="AutoShape 27">
          <a:extLst>
            <a:ext uri="{FF2B5EF4-FFF2-40B4-BE49-F238E27FC236}">
              <a16:creationId xmlns:a16="http://schemas.microsoft.com/office/drawing/2014/main" id="{00000000-0008-0000-0800-0000D7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8" name="AutoShape 28">
          <a:extLst>
            <a:ext uri="{FF2B5EF4-FFF2-40B4-BE49-F238E27FC236}">
              <a16:creationId xmlns:a16="http://schemas.microsoft.com/office/drawing/2014/main" id="{00000000-0008-0000-0800-0000D80B0100}"/>
            </a:ext>
          </a:extLst>
        </xdr:cNvPr>
        <xdr:cNvSpPr>
          <a:spLocks/>
        </xdr:cNvSpPr>
      </xdr:nvSpPr>
      <xdr:spPr bwMode="auto">
        <a:xfrm>
          <a:off x="0" y="23622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69" name="AutoShape 29">
          <a:extLst>
            <a:ext uri="{FF2B5EF4-FFF2-40B4-BE49-F238E27FC236}">
              <a16:creationId xmlns:a16="http://schemas.microsoft.com/office/drawing/2014/main" id="{00000000-0008-0000-0800-0000D9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0" name="AutoShape 30">
          <a:extLst>
            <a:ext uri="{FF2B5EF4-FFF2-40B4-BE49-F238E27FC236}">
              <a16:creationId xmlns:a16="http://schemas.microsoft.com/office/drawing/2014/main" id="{00000000-0008-0000-0800-0000DA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1" name="AutoShape 31">
          <a:extLst>
            <a:ext uri="{FF2B5EF4-FFF2-40B4-BE49-F238E27FC236}">
              <a16:creationId xmlns:a16="http://schemas.microsoft.com/office/drawing/2014/main" id="{00000000-0008-0000-0800-0000DB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2" name="AutoShape 32">
          <a:extLst>
            <a:ext uri="{FF2B5EF4-FFF2-40B4-BE49-F238E27FC236}">
              <a16:creationId xmlns:a16="http://schemas.microsoft.com/office/drawing/2014/main" id="{00000000-0008-0000-0800-0000DC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3" name="AutoShape 33">
          <a:extLst>
            <a:ext uri="{FF2B5EF4-FFF2-40B4-BE49-F238E27FC236}">
              <a16:creationId xmlns:a16="http://schemas.microsoft.com/office/drawing/2014/main" id="{00000000-0008-0000-0800-0000DD0B0100}"/>
            </a:ext>
          </a:extLst>
        </xdr:cNvPr>
        <xdr:cNvSpPr>
          <a:spLocks/>
        </xdr:cNvSpPr>
      </xdr:nvSpPr>
      <xdr:spPr bwMode="auto">
        <a:xfrm>
          <a:off x="0" y="23622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4" name="AutoShape 34">
          <a:extLst>
            <a:ext uri="{FF2B5EF4-FFF2-40B4-BE49-F238E27FC236}">
              <a16:creationId xmlns:a16="http://schemas.microsoft.com/office/drawing/2014/main" id="{00000000-0008-0000-0800-0000DE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5" name="AutoShape 35">
          <a:extLst>
            <a:ext uri="{FF2B5EF4-FFF2-40B4-BE49-F238E27FC236}">
              <a16:creationId xmlns:a16="http://schemas.microsoft.com/office/drawing/2014/main" id="{00000000-0008-0000-0800-0000DF0B0100}"/>
            </a:ext>
          </a:extLst>
        </xdr:cNvPr>
        <xdr:cNvSpPr>
          <a:spLocks/>
        </xdr:cNvSpPr>
      </xdr:nvSpPr>
      <xdr:spPr bwMode="auto">
        <a:xfrm>
          <a:off x="0" y="20850225"/>
          <a:ext cx="0" cy="5524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6" name="AutoShape 36">
          <a:extLst>
            <a:ext uri="{FF2B5EF4-FFF2-40B4-BE49-F238E27FC236}">
              <a16:creationId xmlns:a16="http://schemas.microsoft.com/office/drawing/2014/main" id="{00000000-0008-0000-0800-0000E00B0100}"/>
            </a:ext>
          </a:extLst>
        </xdr:cNvPr>
        <xdr:cNvSpPr>
          <a:spLocks/>
        </xdr:cNvSpPr>
      </xdr:nvSpPr>
      <xdr:spPr bwMode="auto">
        <a:xfrm>
          <a:off x="0" y="23622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7" name="AutoShape 37">
          <a:extLst>
            <a:ext uri="{FF2B5EF4-FFF2-40B4-BE49-F238E27FC236}">
              <a16:creationId xmlns:a16="http://schemas.microsoft.com/office/drawing/2014/main" id="{00000000-0008-0000-0800-0000E10B0100}"/>
            </a:ext>
          </a:extLst>
        </xdr:cNvPr>
        <xdr:cNvSpPr>
          <a:spLocks/>
        </xdr:cNvSpPr>
      </xdr:nvSpPr>
      <xdr:spPr bwMode="auto">
        <a:xfrm>
          <a:off x="0" y="20774025"/>
          <a:ext cx="0" cy="6286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8" name="AutoShape 38">
          <a:extLst>
            <a:ext uri="{FF2B5EF4-FFF2-40B4-BE49-F238E27FC236}">
              <a16:creationId xmlns:a16="http://schemas.microsoft.com/office/drawing/2014/main" id="{00000000-0008-0000-0800-0000E2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79" name="AutoShape 39">
          <a:extLst>
            <a:ext uri="{FF2B5EF4-FFF2-40B4-BE49-F238E27FC236}">
              <a16:creationId xmlns:a16="http://schemas.microsoft.com/office/drawing/2014/main" id="{00000000-0008-0000-0800-0000E3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0" name="AutoShape 40">
          <a:extLst>
            <a:ext uri="{FF2B5EF4-FFF2-40B4-BE49-F238E27FC236}">
              <a16:creationId xmlns:a16="http://schemas.microsoft.com/office/drawing/2014/main" id="{00000000-0008-0000-0800-0000E40B0100}"/>
            </a:ext>
          </a:extLst>
        </xdr:cNvPr>
        <xdr:cNvSpPr>
          <a:spLocks/>
        </xdr:cNvSpPr>
      </xdr:nvSpPr>
      <xdr:spPr bwMode="auto">
        <a:xfrm>
          <a:off x="0" y="36328350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1" name="AutoShape 41">
          <a:extLst>
            <a:ext uri="{FF2B5EF4-FFF2-40B4-BE49-F238E27FC236}">
              <a16:creationId xmlns:a16="http://schemas.microsoft.com/office/drawing/2014/main" id="{00000000-0008-0000-0800-0000E50B0100}"/>
            </a:ext>
          </a:extLst>
        </xdr:cNvPr>
        <xdr:cNvSpPr>
          <a:spLocks/>
        </xdr:cNvSpPr>
      </xdr:nvSpPr>
      <xdr:spPr bwMode="auto">
        <a:xfrm>
          <a:off x="0" y="36709350"/>
          <a:ext cx="0" cy="18573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2" name="AutoShape 42">
          <a:extLst>
            <a:ext uri="{FF2B5EF4-FFF2-40B4-BE49-F238E27FC236}">
              <a16:creationId xmlns:a16="http://schemas.microsoft.com/office/drawing/2014/main" id="{00000000-0008-0000-0800-0000E60B0100}"/>
            </a:ext>
          </a:extLst>
        </xdr:cNvPr>
        <xdr:cNvSpPr>
          <a:spLocks/>
        </xdr:cNvSpPr>
      </xdr:nvSpPr>
      <xdr:spPr bwMode="auto">
        <a:xfrm>
          <a:off x="0" y="36328350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3" name="AutoShape 43">
          <a:extLst>
            <a:ext uri="{FF2B5EF4-FFF2-40B4-BE49-F238E27FC236}">
              <a16:creationId xmlns:a16="http://schemas.microsoft.com/office/drawing/2014/main" id="{00000000-0008-0000-0800-0000E70B0100}"/>
            </a:ext>
          </a:extLst>
        </xdr:cNvPr>
        <xdr:cNvSpPr>
          <a:spLocks/>
        </xdr:cNvSpPr>
      </xdr:nvSpPr>
      <xdr:spPr bwMode="auto">
        <a:xfrm>
          <a:off x="0" y="36709350"/>
          <a:ext cx="0" cy="18573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4" name="AutoShape 44">
          <a:extLst>
            <a:ext uri="{FF2B5EF4-FFF2-40B4-BE49-F238E27FC236}">
              <a16:creationId xmlns:a16="http://schemas.microsoft.com/office/drawing/2014/main" id="{00000000-0008-0000-0800-0000E8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5" name="AutoShape 45">
          <a:extLst>
            <a:ext uri="{FF2B5EF4-FFF2-40B4-BE49-F238E27FC236}">
              <a16:creationId xmlns:a16="http://schemas.microsoft.com/office/drawing/2014/main" id="{00000000-0008-0000-0800-0000E90B0100}"/>
            </a:ext>
          </a:extLst>
        </xdr:cNvPr>
        <xdr:cNvSpPr>
          <a:spLocks/>
        </xdr:cNvSpPr>
      </xdr:nvSpPr>
      <xdr:spPr bwMode="auto">
        <a:xfrm>
          <a:off x="0" y="37328475"/>
          <a:ext cx="0" cy="12477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6" name="AutoShape 46">
          <a:extLst>
            <a:ext uri="{FF2B5EF4-FFF2-40B4-BE49-F238E27FC236}">
              <a16:creationId xmlns:a16="http://schemas.microsoft.com/office/drawing/2014/main" id="{00000000-0008-0000-0800-0000EA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7" name="AutoShape 51">
          <a:extLst>
            <a:ext uri="{FF2B5EF4-FFF2-40B4-BE49-F238E27FC236}">
              <a16:creationId xmlns:a16="http://schemas.microsoft.com/office/drawing/2014/main" id="{00000000-0008-0000-0800-0000EB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8" name="AutoShape 52">
          <a:extLst>
            <a:ext uri="{FF2B5EF4-FFF2-40B4-BE49-F238E27FC236}">
              <a16:creationId xmlns:a16="http://schemas.microsoft.com/office/drawing/2014/main" id="{00000000-0008-0000-0800-0000EC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89" name="AutoShape 53">
          <a:extLst>
            <a:ext uri="{FF2B5EF4-FFF2-40B4-BE49-F238E27FC236}">
              <a16:creationId xmlns:a16="http://schemas.microsoft.com/office/drawing/2014/main" id="{00000000-0008-0000-0800-0000ED0B0100}"/>
            </a:ext>
          </a:extLst>
        </xdr:cNvPr>
        <xdr:cNvSpPr>
          <a:spLocks/>
        </xdr:cNvSpPr>
      </xdr:nvSpPr>
      <xdr:spPr bwMode="auto">
        <a:xfrm>
          <a:off x="0" y="2425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0" name="AutoShape 54">
          <a:extLst>
            <a:ext uri="{FF2B5EF4-FFF2-40B4-BE49-F238E27FC236}">
              <a16:creationId xmlns:a16="http://schemas.microsoft.com/office/drawing/2014/main" id="{00000000-0008-0000-0800-0000EE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1" name="AutoShape 55">
          <a:extLst>
            <a:ext uri="{FF2B5EF4-FFF2-40B4-BE49-F238E27FC236}">
              <a16:creationId xmlns:a16="http://schemas.microsoft.com/office/drawing/2014/main" id="{00000000-0008-0000-0800-0000EF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2" name="AutoShape 56">
          <a:extLst>
            <a:ext uri="{FF2B5EF4-FFF2-40B4-BE49-F238E27FC236}">
              <a16:creationId xmlns:a16="http://schemas.microsoft.com/office/drawing/2014/main" id="{00000000-0008-0000-0800-0000F0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3" name="AutoShape 57">
          <a:extLst>
            <a:ext uri="{FF2B5EF4-FFF2-40B4-BE49-F238E27FC236}">
              <a16:creationId xmlns:a16="http://schemas.microsoft.com/office/drawing/2014/main" id="{00000000-0008-0000-0800-0000F1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4" name="AutoShape 58">
          <a:extLst>
            <a:ext uri="{FF2B5EF4-FFF2-40B4-BE49-F238E27FC236}">
              <a16:creationId xmlns:a16="http://schemas.microsoft.com/office/drawing/2014/main" id="{00000000-0008-0000-0800-0000F20B0100}"/>
            </a:ext>
          </a:extLst>
        </xdr:cNvPr>
        <xdr:cNvSpPr>
          <a:spLocks/>
        </xdr:cNvSpPr>
      </xdr:nvSpPr>
      <xdr:spPr bwMode="auto">
        <a:xfrm>
          <a:off x="0" y="2425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5" name="AutoShape 59">
          <a:extLst>
            <a:ext uri="{FF2B5EF4-FFF2-40B4-BE49-F238E27FC236}">
              <a16:creationId xmlns:a16="http://schemas.microsoft.com/office/drawing/2014/main" id="{00000000-0008-0000-0800-0000F3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6" name="AutoShape 60">
          <a:extLst>
            <a:ext uri="{FF2B5EF4-FFF2-40B4-BE49-F238E27FC236}">
              <a16:creationId xmlns:a16="http://schemas.microsoft.com/office/drawing/2014/main" id="{00000000-0008-0000-0800-0000F40B0100}"/>
            </a:ext>
          </a:extLst>
        </xdr:cNvPr>
        <xdr:cNvSpPr>
          <a:spLocks/>
        </xdr:cNvSpPr>
      </xdr:nvSpPr>
      <xdr:spPr bwMode="auto">
        <a:xfrm>
          <a:off x="0" y="20850225"/>
          <a:ext cx="0" cy="5524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7" name="AutoShape 61">
          <a:extLst>
            <a:ext uri="{FF2B5EF4-FFF2-40B4-BE49-F238E27FC236}">
              <a16:creationId xmlns:a16="http://schemas.microsoft.com/office/drawing/2014/main" id="{00000000-0008-0000-0800-0000F50B0100}"/>
            </a:ext>
          </a:extLst>
        </xdr:cNvPr>
        <xdr:cNvSpPr>
          <a:spLocks/>
        </xdr:cNvSpPr>
      </xdr:nvSpPr>
      <xdr:spPr bwMode="auto">
        <a:xfrm>
          <a:off x="0" y="2425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8" name="AutoShape 62">
          <a:extLst>
            <a:ext uri="{FF2B5EF4-FFF2-40B4-BE49-F238E27FC236}">
              <a16:creationId xmlns:a16="http://schemas.microsoft.com/office/drawing/2014/main" id="{00000000-0008-0000-0800-0000F60B0100}"/>
            </a:ext>
          </a:extLst>
        </xdr:cNvPr>
        <xdr:cNvSpPr>
          <a:spLocks/>
        </xdr:cNvSpPr>
      </xdr:nvSpPr>
      <xdr:spPr bwMode="auto">
        <a:xfrm>
          <a:off x="0" y="20774025"/>
          <a:ext cx="0" cy="628650"/>
        </a:xfrm>
        <a:prstGeom prst="rightBrace">
          <a:avLst>
            <a:gd name="adj1" fmla="val -2147483648"/>
            <a:gd name="adj2" fmla="val 7884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599" name="AutoShape 63">
          <a:extLst>
            <a:ext uri="{FF2B5EF4-FFF2-40B4-BE49-F238E27FC236}">
              <a16:creationId xmlns:a16="http://schemas.microsoft.com/office/drawing/2014/main" id="{00000000-0008-0000-0800-0000F7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0" name="AutoShape 64">
          <a:extLst>
            <a:ext uri="{FF2B5EF4-FFF2-40B4-BE49-F238E27FC236}">
              <a16:creationId xmlns:a16="http://schemas.microsoft.com/office/drawing/2014/main" id="{00000000-0008-0000-0800-0000F8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1" name="AutoShape 65">
          <a:extLst>
            <a:ext uri="{FF2B5EF4-FFF2-40B4-BE49-F238E27FC236}">
              <a16:creationId xmlns:a16="http://schemas.microsoft.com/office/drawing/2014/main" id="{00000000-0008-0000-0800-0000F90B0100}"/>
            </a:ext>
          </a:extLst>
        </xdr:cNvPr>
        <xdr:cNvSpPr>
          <a:spLocks/>
        </xdr:cNvSpPr>
      </xdr:nvSpPr>
      <xdr:spPr bwMode="auto">
        <a:xfrm>
          <a:off x="0" y="37118925"/>
          <a:ext cx="0" cy="2095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2" name="AutoShape 66">
          <a:extLst>
            <a:ext uri="{FF2B5EF4-FFF2-40B4-BE49-F238E27FC236}">
              <a16:creationId xmlns:a16="http://schemas.microsoft.com/office/drawing/2014/main" id="{00000000-0008-0000-0800-0000FA0B0100}"/>
            </a:ext>
          </a:extLst>
        </xdr:cNvPr>
        <xdr:cNvSpPr>
          <a:spLocks/>
        </xdr:cNvSpPr>
      </xdr:nvSpPr>
      <xdr:spPr bwMode="auto">
        <a:xfrm>
          <a:off x="0" y="37461825"/>
          <a:ext cx="0" cy="17716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3" name="AutoShape 67">
          <a:extLst>
            <a:ext uri="{FF2B5EF4-FFF2-40B4-BE49-F238E27FC236}">
              <a16:creationId xmlns:a16="http://schemas.microsoft.com/office/drawing/2014/main" id="{00000000-0008-0000-0800-0000FB0B0100}"/>
            </a:ext>
          </a:extLst>
        </xdr:cNvPr>
        <xdr:cNvSpPr>
          <a:spLocks/>
        </xdr:cNvSpPr>
      </xdr:nvSpPr>
      <xdr:spPr bwMode="auto">
        <a:xfrm>
          <a:off x="0" y="37118925"/>
          <a:ext cx="0" cy="2095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4" name="AutoShape 68">
          <a:extLst>
            <a:ext uri="{FF2B5EF4-FFF2-40B4-BE49-F238E27FC236}">
              <a16:creationId xmlns:a16="http://schemas.microsoft.com/office/drawing/2014/main" id="{00000000-0008-0000-0800-0000FC0B0100}"/>
            </a:ext>
          </a:extLst>
        </xdr:cNvPr>
        <xdr:cNvSpPr>
          <a:spLocks/>
        </xdr:cNvSpPr>
      </xdr:nvSpPr>
      <xdr:spPr bwMode="auto">
        <a:xfrm>
          <a:off x="0" y="37461825"/>
          <a:ext cx="0" cy="17716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5" name="AutoShape 69">
          <a:extLst>
            <a:ext uri="{FF2B5EF4-FFF2-40B4-BE49-F238E27FC236}">
              <a16:creationId xmlns:a16="http://schemas.microsoft.com/office/drawing/2014/main" id="{00000000-0008-0000-0800-0000FD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6" name="AutoShape 70">
          <a:extLst>
            <a:ext uri="{FF2B5EF4-FFF2-40B4-BE49-F238E27FC236}">
              <a16:creationId xmlns:a16="http://schemas.microsoft.com/office/drawing/2014/main" id="{00000000-0008-0000-0800-0000FE0B0100}"/>
            </a:ext>
          </a:extLst>
        </xdr:cNvPr>
        <xdr:cNvSpPr>
          <a:spLocks/>
        </xdr:cNvSpPr>
      </xdr:nvSpPr>
      <xdr:spPr bwMode="auto">
        <a:xfrm>
          <a:off x="0" y="37909500"/>
          <a:ext cx="0" cy="13335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68607" name="AutoShape 71">
          <a:extLst>
            <a:ext uri="{FF2B5EF4-FFF2-40B4-BE49-F238E27FC236}">
              <a16:creationId xmlns:a16="http://schemas.microsoft.com/office/drawing/2014/main" id="{00000000-0008-0000-0800-0000FF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sp macro="" textlink="">
      <xdr:nvSpPr>
        <xdr:cNvPr id="71680" name="AutoShape 75">
          <a:extLst>
            <a:ext uri="{FF2B5EF4-FFF2-40B4-BE49-F238E27FC236}">
              <a16:creationId xmlns:a16="http://schemas.microsoft.com/office/drawing/2014/main" id="{00000000-0008-0000-0800-000000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81" name="AutoShape 76">
          <a:extLst>
            <a:ext uri="{FF2B5EF4-FFF2-40B4-BE49-F238E27FC236}">
              <a16:creationId xmlns:a16="http://schemas.microsoft.com/office/drawing/2014/main" id="{00000000-0008-0000-0800-000001180100}"/>
            </a:ext>
          </a:extLst>
        </xdr:cNvPr>
        <xdr:cNvSpPr>
          <a:spLocks/>
        </xdr:cNvSpPr>
      </xdr:nvSpPr>
      <xdr:spPr bwMode="auto">
        <a:xfrm>
          <a:off x="0" y="1364932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82" name="AutoShape 77">
          <a:extLst>
            <a:ext uri="{FF2B5EF4-FFF2-40B4-BE49-F238E27FC236}">
              <a16:creationId xmlns:a16="http://schemas.microsoft.com/office/drawing/2014/main" id="{00000000-0008-0000-0800-000002180100}"/>
            </a:ext>
          </a:extLst>
        </xdr:cNvPr>
        <xdr:cNvSpPr>
          <a:spLocks/>
        </xdr:cNvSpPr>
      </xdr:nvSpPr>
      <xdr:spPr bwMode="auto">
        <a:xfrm>
          <a:off x="0" y="2456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sp macro="" textlink="">
      <xdr:nvSpPr>
        <xdr:cNvPr id="71683" name="AutoShape 78">
          <a:extLst>
            <a:ext uri="{FF2B5EF4-FFF2-40B4-BE49-F238E27FC236}">
              <a16:creationId xmlns:a16="http://schemas.microsoft.com/office/drawing/2014/main" id="{00000000-0008-0000-0800-000003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84" name="AutoShape 79">
          <a:extLst>
            <a:ext uri="{FF2B5EF4-FFF2-40B4-BE49-F238E27FC236}">
              <a16:creationId xmlns:a16="http://schemas.microsoft.com/office/drawing/2014/main" id="{00000000-0008-0000-0800-000004180100}"/>
            </a:ext>
          </a:extLst>
        </xdr:cNvPr>
        <xdr:cNvSpPr>
          <a:spLocks/>
        </xdr:cNvSpPr>
      </xdr:nvSpPr>
      <xdr:spPr bwMode="auto">
        <a:xfrm>
          <a:off x="0" y="1364932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sp macro="" textlink="">
      <xdr:nvSpPr>
        <xdr:cNvPr id="71685" name="AutoShape 80">
          <a:extLst>
            <a:ext uri="{FF2B5EF4-FFF2-40B4-BE49-F238E27FC236}">
              <a16:creationId xmlns:a16="http://schemas.microsoft.com/office/drawing/2014/main" id="{00000000-0008-0000-0800-000005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86" name="AutoShape 81">
          <a:extLst>
            <a:ext uri="{FF2B5EF4-FFF2-40B4-BE49-F238E27FC236}">
              <a16:creationId xmlns:a16="http://schemas.microsoft.com/office/drawing/2014/main" id="{00000000-0008-0000-0800-000006180100}"/>
            </a:ext>
          </a:extLst>
        </xdr:cNvPr>
        <xdr:cNvSpPr>
          <a:spLocks/>
        </xdr:cNvSpPr>
      </xdr:nvSpPr>
      <xdr:spPr bwMode="auto">
        <a:xfrm>
          <a:off x="0" y="1364932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87" name="AutoShape 82">
          <a:extLst>
            <a:ext uri="{FF2B5EF4-FFF2-40B4-BE49-F238E27FC236}">
              <a16:creationId xmlns:a16="http://schemas.microsoft.com/office/drawing/2014/main" id="{00000000-0008-0000-0800-000007180100}"/>
            </a:ext>
          </a:extLst>
        </xdr:cNvPr>
        <xdr:cNvSpPr>
          <a:spLocks/>
        </xdr:cNvSpPr>
      </xdr:nvSpPr>
      <xdr:spPr bwMode="auto">
        <a:xfrm>
          <a:off x="0" y="2456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88" name="AutoShape 83">
          <a:extLst>
            <a:ext uri="{FF2B5EF4-FFF2-40B4-BE49-F238E27FC236}">
              <a16:creationId xmlns:a16="http://schemas.microsoft.com/office/drawing/2014/main" id="{00000000-0008-0000-0800-000008180100}"/>
            </a:ext>
          </a:extLst>
        </xdr:cNvPr>
        <xdr:cNvSpPr>
          <a:spLocks/>
        </xdr:cNvSpPr>
      </xdr:nvSpPr>
      <xdr:spPr bwMode="auto">
        <a:xfrm>
          <a:off x="0" y="2171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76200</xdr:rowOff>
    </xdr:from>
    <xdr:to>
      <xdr:col>0</xdr:col>
      <xdr:colOff>0</xdr:colOff>
      <xdr:row>54</xdr:row>
      <xdr:rowOff>0</xdr:rowOff>
    </xdr:to>
    <xdr:sp macro="" textlink="">
      <xdr:nvSpPr>
        <xdr:cNvPr id="71689" name="AutoShape 84">
          <a:extLst>
            <a:ext uri="{FF2B5EF4-FFF2-40B4-BE49-F238E27FC236}">
              <a16:creationId xmlns:a16="http://schemas.microsoft.com/office/drawing/2014/main" id="{00000000-0008-0000-0800-000009180100}"/>
            </a:ext>
          </a:extLst>
        </xdr:cNvPr>
        <xdr:cNvSpPr>
          <a:spLocks/>
        </xdr:cNvSpPr>
      </xdr:nvSpPr>
      <xdr:spPr bwMode="auto">
        <a:xfrm>
          <a:off x="0" y="13858875"/>
          <a:ext cx="0" cy="5524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0" name="AutoShape 85">
          <a:extLst>
            <a:ext uri="{FF2B5EF4-FFF2-40B4-BE49-F238E27FC236}">
              <a16:creationId xmlns:a16="http://schemas.microsoft.com/office/drawing/2014/main" id="{00000000-0008-0000-0800-00000A180100}"/>
            </a:ext>
          </a:extLst>
        </xdr:cNvPr>
        <xdr:cNvSpPr>
          <a:spLocks/>
        </xdr:cNvSpPr>
      </xdr:nvSpPr>
      <xdr:spPr bwMode="auto">
        <a:xfrm>
          <a:off x="0" y="2456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1" name="AutoShape 86">
          <a:extLst>
            <a:ext uri="{FF2B5EF4-FFF2-40B4-BE49-F238E27FC236}">
              <a16:creationId xmlns:a16="http://schemas.microsoft.com/office/drawing/2014/main" id="{00000000-0008-0000-0800-00000B180100}"/>
            </a:ext>
          </a:extLst>
        </xdr:cNvPr>
        <xdr:cNvSpPr>
          <a:spLocks/>
        </xdr:cNvSpPr>
      </xdr:nvSpPr>
      <xdr:spPr bwMode="auto">
        <a:xfrm>
          <a:off x="0" y="13782675"/>
          <a:ext cx="0" cy="628650"/>
        </a:xfrm>
        <a:prstGeom prst="rightBrace">
          <a:avLst>
            <a:gd name="adj1" fmla="val -2147483648"/>
            <a:gd name="adj2" fmla="val 7884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sp macro="" textlink="">
      <xdr:nvSpPr>
        <xdr:cNvPr id="71692" name="AutoShape 87">
          <a:extLst>
            <a:ext uri="{FF2B5EF4-FFF2-40B4-BE49-F238E27FC236}">
              <a16:creationId xmlns:a16="http://schemas.microsoft.com/office/drawing/2014/main" id="{00000000-0008-0000-0800-00000C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3" name="AutoShape 88">
          <a:extLst>
            <a:ext uri="{FF2B5EF4-FFF2-40B4-BE49-F238E27FC236}">
              <a16:creationId xmlns:a16="http://schemas.microsoft.com/office/drawing/2014/main" id="{00000000-0008-0000-0800-00000D180100}"/>
            </a:ext>
          </a:extLst>
        </xdr:cNvPr>
        <xdr:cNvSpPr>
          <a:spLocks/>
        </xdr:cNvSpPr>
      </xdr:nvSpPr>
      <xdr:spPr bwMode="auto">
        <a:xfrm>
          <a:off x="0" y="2171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4" name="AutoShape 89">
          <a:extLst>
            <a:ext uri="{FF2B5EF4-FFF2-40B4-BE49-F238E27FC236}">
              <a16:creationId xmlns:a16="http://schemas.microsoft.com/office/drawing/2014/main" id="{00000000-0008-0000-0800-00000E180100}"/>
            </a:ext>
          </a:extLst>
        </xdr:cNvPr>
        <xdr:cNvSpPr>
          <a:spLocks/>
        </xdr:cNvSpPr>
      </xdr:nvSpPr>
      <xdr:spPr bwMode="auto">
        <a:xfrm>
          <a:off x="0" y="31184850"/>
          <a:ext cx="0" cy="14287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5" name="AutoShape 90">
          <a:extLst>
            <a:ext uri="{FF2B5EF4-FFF2-40B4-BE49-F238E27FC236}">
              <a16:creationId xmlns:a16="http://schemas.microsoft.com/office/drawing/2014/main" id="{00000000-0008-0000-0800-00000F180100}"/>
            </a:ext>
          </a:extLst>
        </xdr:cNvPr>
        <xdr:cNvSpPr>
          <a:spLocks/>
        </xdr:cNvSpPr>
      </xdr:nvSpPr>
      <xdr:spPr bwMode="auto">
        <a:xfrm>
          <a:off x="0" y="31508700"/>
          <a:ext cx="0" cy="19526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6" name="AutoShape 91">
          <a:extLst>
            <a:ext uri="{FF2B5EF4-FFF2-40B4-BE49-F238E27FC236}">
              <a16:creationId xmlns:a16="http://schemas.microsoft.com/office/drawing/2014/main" id="{00000000-0008-0000-0800-000010180100}"/>
            </a:ext>
          </a:extLst>
        </xdr:cNvPr>
        <xdr:cNvSpPr>
          <a:spLocks/>
        </xdr:cNvSpPr>
      </xdr:nvSpPr>
      <xdr:spPr bwMode="auto">
        <a:xfrm>
          <a:off x="0" y="31184850"/>
          <a:ext cx="0" cy="14287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7" name="AutoShape 92">
          <a:extLst>
            <a:ext uri="{FF2B5EF4-FFF2-40B4-BE49-F238E27FC236}">
              <a16:creationId xmlns:a16="http://schemas.microsoft.com/office/drawing/2014/main" id="{00000000-0008-0000-0800-000011180100}"/>
            </a:ext>
          </a:extLst>
        </xdr:cNvPr>
        <xdr:cNvSpPr>
          <a:spLocks/>
        </xdr:cNvSpPr>
      </xdr:nvSpPr>
      <xdr:spPr bwMode="auto">
        <a:xfrm>
          <a:off x="0" y="31508700"/>
          <a:ext cx="0" cy="19526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8" name="AutoShape 93">
          <a:extLst>
            <a:ext uri="{FF2B5EF4-FFF2-40B4-BE49-F238E27FC236}">
              <a16:creationId xmlns:a16="http://schemas.microsoft.com/office/drawing/2014/main" id="{00000000-0008-0000-0800-000012180100}"/>
            </a:ext>
          </a:extLst>
        </xdr:cNvPr>
        <xdr:cNvSpPr>
          <a:spLocks/>
        </xdr:cNvSpPr>
      </xdr:nvSpPr>
      <xdr:spPr bwMode="auto">
        <a:xfrm>
          <a:off x="0" y="37909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699" name="AutoShape 94">
          <a:extLst>
            <a:ext uri="{FF2B5EF4-FFF2-40B4-BE49-F238E27FC236}">
              <a16:creationId xmlns:a16="http://schemas.microsoft.com/office/drawing/2014/main" id="{00000000-0008-0000-0800-000013180100}"/>
            </a:ext>
          </a:extLst>
        </xdr:cNvPr>
        <xdr:cNvSpPr>
          <a:spLocks/>
        </xdr:cNvSpPr>
      </xdr:nvSpPr>
      <xdr:spPr bwMode="auto">
        <a:xfrm>
          <a:off x="0" y="32070675"/>
          <a:ext cx="0" cy="140017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1700" name="AutoShape 95">
          <a:extLst>
            <a:ext uri="{FF2B5EF4-FFF2-40B4-BE49-F238E27FC236}">
              <a16:creationId xmlns:a16="http://schemas.microsoft.com/office/drawing/2014/main" id="{00000000-0008-0000-0800-000014180100}"/>
            </a:ext>
          </a:extLst>
        </xdr:cNvPr>
        <xdr:cNvSpPr>
          <a:spLocks/>
        </xdr:cNvSpPr>
      </xdr:nvSpPr>
      <xdr:spPr bwMode="auto">
        <a:xfrm>
          <a:off x="0" y="37909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hiv01ibm/Dokumentumok/Excel/Menyus/P&#233;nz&#252;gyielemz&#233;s/P&#252;modell/M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ölap"/>
      <sheetName val="Ábra_1"/>
      <sheetName val="Ábra_2"/>
      <sheetName val="Ábra_3"/>
      <sheetName val="Ábra_4"/>
      <sheetName val="Kockázat"/>
      <sheetName val="Háttéradatok"/>
      <sheetName val="Adatbevitel"/>
      <sheetName val="Elörejelzés"/>
      <sheetName val="Költségvetés"/>
      <sheetName val="Megoszlás"/>
      <sheetName val="PerCap"/>
      <sheetName val="Reálérték"/>
      <sheetName val="Szcenáriók"/>
      <sheetName val="Hitelfelvét"/>
      <sheetName val="Chart_data"/>
      <sheetName val="Info sheet"/>
      <sheetName val="Simple"/>
      <sheetName val="Double"/>
      <sheetName val="Option"/>
      <sheetName val="Year"/>
      <sheetName val="Forecast"/>
      <sheetName val="Estimate"/>
      <sheetName val="Scenarios"/>
      <sheetName val="Credit"/>
      <sheetName val="Charter"/>
      <sheetName val="Risk"/>
      <sheetName val="Risk-scen"/>
      <sheetName val="Risk-trend"/>
      <sheetName val="Risk-menu"/>
      <sheetName val="a_Core"/>
      <sheetName val="b_Menu_commands"/>
      <sheetName val="c_Simple_routines"/>
      <sheetName val="d_Double_routines"/>
      <sheetName val="e_Year_routines"/>
      <sheetName val="f_Option_routines"/>
      <sheetName val="g_Forecast_routines"/>
      <sheetName val="h_Estimate_routines"/>
      <sheetName val="i_Import_routines"/>
      <sheetName val="j_Credit_routines"/>
      <sheetName val="k_Scenario_routines"/>
      <sheetName val="l_Charter_routines"/>
      <sheetName val="m_Risk_routines"/>
      <sheetName val="n_Risk_menu"/>
      <sheetName val="Akadálymentesítési közmunkapr."/>
      <sheetName val="Út-híd szakfeladat"/>
      <sheetName val="Parkfenntartás"/>
      <sheetName val="Vízkárelhárítás"/>
      <sheetName val="Köztisztaság"/>
      <sheetName val="Temetőfenntartás"/>
      <sheetName val="Közvilágítás"/>
      <sheetName val="Állategészségügy"/>
      <sheetName val="Mezőgazdaság"/>
      <sheetName val="Közműnyilvántartás"/>
      <sheetName val="Lakásüzemeltetés"/>
      <sheetName val="Közösköltség"/>
      <sheetName val="Zöld Ház közös ktg."/>
      <sheetName val="Lakás karbantartás"/>
      <sheetName val="Lakásért. bony.díja"/>
      <sheetName val="Kezelési díj"/>
      <sheetName val="Lakás felújítás"/>
      <sheetName val="Lakás mobilitás"/>
      <sheetName val="Bérlőkijelölés"/>
      <sheetName val="Ped.szálló üzemeltetése"/>
      <sheetName val="Első lakáshoz jutók"/>
      <sheetName val="VMZK címzett"/>
      <sheetName val="Játszótéri program"/>
      <sheetName val="Region.hulladéklerakó"/>
      <sheetName val="Széchenyi park építés"/>
      <sheetName val="Színház műszaki ellátó rendszer"/>
      <sheetName val="Civil Ház"/>
      <sheetName val="Csallóköz ovi"/>
      <sheetName val="Széchenyi Gimn tornacsarnok"/>
      <sheetName val="Kodály Z ÁI"/>
      <sheetName val="Mátyás"/>
      <sheetName val="Gépipari címzett"/>
      <sheetName val="TVM 91 lakás"/>
      <sheetName val="Kerékpárút"/>
      <sheetName val="2004. évi útépítések"/>
      <sheetName val="TVM villany"/>
      <sheetName val="Repülős emlékmű"/>
      <sheetName val="Gorkij úti csapadékvíz"/>
      <sheetName val="CORA lépcső"/>
      <sheetName val="Közvilágítás bővítése"/>
      <sheetName val="közbeszerzés"/>
      <sheetName val="Védelmi tervek"/>
      <sheetName val="Csapadékvíz elvez beruh konc"/>
      <sheetName val="Ip.tech.lakóép.korsz."/>
      <sheetName val="TVM lakótelepi lakások"/>
      <sheetName val="Bozsik"/>
      <sheetName val="Logisztikai központ"/>
      <sheetName val="Kossuth tér"/>
      <sheetName val="Inkubátorház"/>
      <sheetName val="1"/>
      <sheetName val="2"/>
      <sheetName val="3"/>
      <sheetName val="4"/>
      <sheetName val="5"/>
      <sheetName val="6"/>
      <sheetName val="vis major felúj"/>
      <sheetName val="vis major kiemelt int."/>
      <sheetName val="vis major 10"/>
      <sheetName val="Városszépítési Alap"/>
      <sheetName val="Környezetvédelmi Alap"/>
      <sheetName val="ÉKHV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22">
          <cell r="C22">
            <v>1990</v>
          </cell>
          <cell r="D22">
            <v>1991</v>
          </cell>
          <cell r="E22">
            <v>1992</v>
          </cell>
          <cell r="F22">
            <v>1993</v>
          </cell>
          <cell r="G22">
            <v>1994</v>
          </cell>
          <cell r="H22">
            <v>1995</v>
          </cell>
          <cell r="I22">
            <v>1996</v>
          </cell>
          <cell r="J22">
            <v>1997</v>
          </cell>
          <cell r="K22">
            <v>1998</v>
          </cell>
          <cell r="L22">
            <v>1999</v>
          </cell>
          <cell r="M22">
            <v>2000</v>
          </cell>
          <cell r="N22">
            <v>2001</v>
          </cell>
          <cell r="O22">
            <v>2002</v>
          </cell>
          <cell r="P22">
            <v>2003</v>
          </cell>
          <cell r="Q22">
            <v>2004</v>
          </cell>
          <cell r="R22">
            <v>2005</v>
          </cell>
          <cell r="S22">
            <v>2006</v>
          </cell>
          <cell r="T22">
            <v>2007</v>
          </cell>
          <cell r="U22">
            <v>2008</v>
          </cell>
          <cell r="V22">
            <v>2009</v>
          </cell>
          <cell r="W22">
            <v>2010</v>
          </cell>
          <cell r="X22">
            <v>2011</v>
          </cell>
          <cell r="Y22">
            <v>2012</v>
          </cell>
          <cell r="Z22">
            <v>2013</v>
          </cell>
          <cell r="AA22">
            <v>2014</v>
          </cell>
          <cell r="AB22">
            <v>2015</v>
          </cell>
          <cell r="AC22">
            <v>2016</v>
          </cell>
          <cell r="AD22">
            <v>2017</v>
          </cell>
          <cell r="AE22">
            <v>2018</v>
          </cell>
          <cell r="AF22">
            <v>2019</v>
          </cell>
          <cell r="AG22">
            <v>2020</v>
          </cell>
        </row>
        <row r="23">
          <cell r="B23" t="str">
            <v>éves változás</v>
          </cell>
          <cell r="C23">
            <v>28.9</v>
          </cell>
          <cell r="D23">
            <v>35</v>
          </cell>
          <cell r="E23">
            <v>22.8</v>
          </cell>
          <cell r="F23">
            <v>22.5</v>
          </cell>
          <cell r="G23">
            <v>18.8</v>
          </cell>
          <cell r="H23">
            <v>28.8</v>
          </cell>
          <cell r="I23">
            <v>23.8</v>
          </cell>
          <cell r="J23">
            <v>18.3</v>
          </cell>
          <cell r="K23">
            <v>15</v>
          </cell>
          <cell r="L23">
            <v>14</v>
          </cell>
          <cell r="M23">
            <v>13</v>
          </cell>
          <cell r="N23">
            <v>12</v>
          </cell>
          <cell r="O23">
            <v>11.5</v>
          </cell>
          <cell r="P23">
            <v>11</v>
          </cell>
          <cell r="Q23">
            <v>10.5</v>
          </cell>
          <cell r="R23">
            <v>10</v>
          </cell>
          <cell r="S23">
            <v>9.5</v>
          </cell>
          <cell r="T23">
            <v>9</v>
          </cell>
          <cell r="U23">
            <v>8.5</v>
          </cell>
          <cell r="V23">
            <v>8</v>
          </cell>
          <cell r="W23">
            <v>7.5</v>
          </cell>
          <cell r="X23">
            <v>7</v>
          </cell>
          <cell r="Y23">
            <v>6.5</v>
          </cell>
          <cell r="Z23">
            <v>6</v>
          </cell>
          <cell r="AA23">
            <v>5.5</v>
          </cell>
          <cell r="AB23">
            <v>5</v>
          </cell>
          <cell r="AC23">
            <v>4.5</v>
          </cell>
          <cell r="AD23">
            <v>4</v>
          </cell>
          <cell r="AE23">
            <v>4</v>
          </cell>
          <cell r="AF23">
            <v>4</v>
          </cell>
          <cell r="AG23">
            <v>4</v>
          </cell>
        </row>
        <row r="24">
          <cell r="B24" t="str">
            <v>index</v>
          </cell>
          <cell r="C24">
            <v>1.2889999999999999</v>
          </cell>
          <cell r="D24">
            <v>1.7401500000000001</v>
          </cell>
          <cell r="E24">
            <v>2.1369042</v>
          </cell>
          <cell r="F24">
            <v>2.6177076450000003</v>
          </cell>
          <cell r="G24">
            <v>3.1098366822600001</v>
          </cell>
          <cell r="H24">
            <v>4.0054696467508801</v>
          </cell>
          <cell r="I24">
            <v>4.9587714226775894</v>
          </cell>
          <cell r="J24">
            <v>5.8662265930275881</v>
          </cell>
          <cell r="K24">
            <v>6.7461605819817256</v>
          </cell>
          <cell r="L24">
            <v>7.6906230634591681</v>
          </cell>
          <cell r="M24">
            <v>8.6904040617088594</v>
          </cell>
          <cell r="N24">
            <v>9.7332525491139226</v>
          </cell>
          <cell r="O24">
            <v>10.852576592262023</v>
          </cell>
          <cell r="P24">
            <v>12.046360017410848</v>
          </cell>
          <cell r="Q24">
            <v>13.311227819238987</v>
          </cell>
          <cell r="R24">
            <v>14.642350601162887</v>
          </cell>
          <cell r="S24">
            <v>16.033373908273362</v>
          </cell>
          <cell r="T24">
            <v>17.476377560017966</v>
          </cell>
          <cell r="U24">
            <v>18.961869652619491</v>
          </cell>
          <cell r="V24">
            <v>20.478819224829053</v>
          </cell>
          <cell r="W24">
            <v>22.014730666691232</v>
          </cell>
          <cell r="X24">
            <v>23.55576181335962</v>
          </cell>
          <cell r="Y24">
            <v>25.086886331227994</v>
          </cell>
          <cell r="Z24">
            <v>26.592099511101676</v>
          </cell>
          <cell r="AA24">
            <v>28.054664984212266</v>
          </cell>
          <cell r="AB24">
            <v>29.457398233422882</v>
          </cell>
          <cell r="AC24">
            <v>30.782981153926912</v>
          </cell>
          <cell r="AD24">
            <v>32.014300400083989</v>
          </cell>
          <cell r="AE24">
            <v>33.294872416087351</v>
          </cell>
          <cell r="AF24">
            <v>34.626667312730845</v>
          </cell>
          <cell r="AG24">
            <v>36.011734005240079</v>
          </cell>
        </row>
        <row r="25">
          <cell r="B25">
            <v>1998</v>
          </cell>
          <cell r="C25">
            <v>5.2336389309400513</v>
          </cell>
          <cell r="D25">
            <v>3.8767695784741116</v>
          </cell>
          <cell r="E25">
            <v>3.1569784840994397</v>
          </cell>
          <cell r="F25">
            <v>2.5771252931423994</v>
          </cell>
          <cell r="G25">
            <v>2.1692973847999997</v>
          </cell>
          <cell r="H25">
            <v>1.6842370999999998</v>
          </cell>
          <cell r="I25">
            <v>1.3604499999999997</v>
          </cell>
          <cell r="J25">
            <v>1.1499999999999999</v>
          </cell>
          <cell r="K25">
            <v>1</v>
          </cell>
          <cell r="L25">
            <v>0.8771929824561403</v>
          </cell>
          <cell r="M25">
            <v>0.77627697562490294</v>
          </cell>
          <cell r="N25">
            <v>0.6931044425222348</v>
          </cell>
          <cell r="O25">
            <v>0.62161833410065903</v>
          </cell>
          <cell r="P25">
            <v>0.56001651720780077</v>
          </cell>
          <cell r="Q25">
            <v>0.50680227801610933</v>
          </cell>
          <cell r="R25">
            <v>0.46072934365100843</v>
          </cell>
          <cell r="S25">
            <v>0.42075739146210817</v>
          </cell>
          <cell r="T25">
            <v>0.38601595546982398</v>
          </cell>
          <cell r="U25">
            <v>0.35577507416573639</v>
          </cell>
          <cell r="V25">
            <v>0.3294213649682744</v>
          </cell>
          <cell r="W25">
            <v>0.30643847904025523</v>
          </cell>
          <cell r="X25">
            <v>0.28639110190678058</v>
          </cell>
          <cell r="Y25">
            <v>0.2689118327763198</v>
          </cell>
          <cell r="Z25">
            <v>0.25369040827954698</v>
          </cell>
          <cell r="AA25">
            <v>0.2404648419711346</v>
          </cell>
          <cell r="AB25">
            <v>0.22901413521060435</v>
          </cell>
          <cell r="AC25">
            <v>0.21915228249818597</v>
          </cell>
          <cell r="AD25">
            <v>0.21072334855594804</v>
          </cell>
          <cell r="AE25">
            <v>0.20261860438071927</v>
          </cell>
          <cell r="AF25">
            <v>0.19482558113530699</v>
          </cell>
          <cell r="AG25">
            <v>0.18733228955317979</v>
          </cell>
        </row>
        <row r="26">
          <cell r="C26">
            <v>96.5</v>
          </cell>
          <cell r="D26">
            <v>88.1</v>
          </cell>
          <cell r="E26">
            <v>96.9</v>
          </cell>
          <cell r="F26">
            <v>99.4</v>
          </cell>
          <cell r="G26">
            <v>102.9</v>
          </cell>
          <cell r="H26">
            <v>101.5</v>
          </cell>
          <cell r="I26">
            <v>101.3</v>
          </cell>
          <cell r="J26">
            <v>104.4</v>
          </cell>
          <cell r="K26">
            <v>105</v>
          </cell>
          <cell r="L26">
            <v>106</v>
          </cell>
          <cell r="M26">
            <v>107</v>
          </cell>
          <cell r="N26">
            <v>108</v>
          </cell>
          <cell r="O26">
            <v>108</v>
          </cell>
          <cell r="P26">
            <v>108</v>
          </cell>
          <cell r="Q26">
            <v>108</v>
          </cell>
          <cell r="R26">
            <v>108</v>
          </cell>
          <cell r="S26">
            <v>108</v>
          </cell>
          <cell r="T26">
            <v>108</v>
          </cell>
          <cell r="U26">
            <v>108</v>
          </cell>
          <cell r="V26">
            <v>108</v>
          </cell>
          <cell r="W26">
            <v>108</v>
          </cell>
          <cell r="X26">
            <v>108</v>
          </cell>
          <cell r="Y26">
            <v>108</v>
          </cell>
          <cell r="Z26">
            <v>108</v>
          </cell>
          <cell r="AA26">
            <v>108</v>
          </cell>
          <cell r="AB26">
            <v>108</v>
          </cell>
          <cell r="AC26">
            <v>108</v>
          </cell>
          <cell r="AD26">
            <v>108</v>
          </cell>
          <cell r="AE26">
            <v>108</v>
          </cell>
          <cell r="AF26">
            <v>108</v>
          </cell>
          <cell r="AG26">
            <v>108</v>
          </cell>
        </row>
        <row r="27">
          <cell r="B27" t="str">
            <v>index</v>
          </cell>
          <cell r="C27">
            <v>0.96499999999999997</v>
          </cell>
          <cell r="D27">
            <v>0.85016499999999984</v>
          </cell>
          <cell r="E27">
            <v>0.82380988499999996</v>
          </cell>
          <cell r="F27">
            <v>0.81886702569000003</v>
          </cell>
          <cell r="G27">
            <v>0.84261416943501011</v>
          </cell>
          <cell r="H27">
            <v>0.85525338197653522</v>
          </cell>
          <cell r="I27">
            <v>0.86637167594223008</v>
          </cell>
          <cell r="J27">
            <v>0.90449202968368825</v>
          </cell>
          <cell r="K27">
            <v>0.94971663116787275</v>
          </cell>
          <cell r="L27">
            <v>1.0066996290379451</v>
          </cell>
          <cell r="M27">
            <v>1.0771686030706014</v>
          </cell>
          <cell r="N27">
            <v>1.1633420913162495</v>
          </cell>
          <cell r="O27">
            <v>1.2564094586215495</v>
          </cell>
          <cell r="P27">
            <v>1.3569222153112737</v>
          </cell>
          <cell r="Q27">
            <v>1.4654759925361756</v>
          </cell>
          <cell r="R27">
            <v>1.5827140719390698</v>
          </cell>
          <cell r="S27">
            <v>1.7093311976941954</v>
          </cell>
          <cell r="T27">
            <v>1.8460776935097312</v>
          </cell>
          <cell r="U27">
            <v>1.9937639089905097</v>
          </cell>
          <cell r="V27">
            <v>2.1532650217097506</v>
          </cell>
          <cell r="W27">
            <v>2.325526223446531</v>
          </cell>
          <cell r="X27">
            <v>2.5115683213222537</v>
          </cell>
          <cell r="Y27">
            <v>2.7124937870280341</v>
          </cell>
          <cell r="Z27">
            <v>2.929493289990277</v>
          </cell>
          <cell r="AA27">
            <v>3.1638527531894995</v>
          </cell>
          <cell r="AB27">
            <v>3.4169609734446595</v>
          </cell>
          <cell r="AC27">
            <v>3.6903178513202324</v>
          </cell>
          <cell r="AD27">
            <v>3.9855432794258512</v>
          </cell>
          <cell r="AE27">
            <v>4.3043867417799193</v>
          </cell>
          <cell r="AF27">
            <v>4.6487376811223129</v>
          </cell>
          <cell r="AG27">
            <v>5.0206366956120982</v>
          </cell>
        </row>
        <row r="28">
          <cell r="B28">
            <v>1998</v>
          </cell>
          <cell r="C28">
            <v>0.98416231209105987</v>
          </cell>
          <cell r="D28">
            <v>1.1170968355176618</v>
          </cell>
          <cell r="E28">
            <v>1.1528347115765343</v>
          </cell>
          <cell r="F28">
            <v>1.1597934724110002</v>
          </cell>
          <cell r="G28">
            <v>1.127107359</v>
          </cell>
          <cell r="H28">
            <v>1.1104506000000001</v>
          </cell>
          <cell r="I28">
            <v>1.0962000000000001</v>
          </cell>
          <cell r="J28">
            <v>1.05</v>
          </cell>
          <cell r="K28">
            <v>1</v>
          </cell>
          <cell r="L28">
            <v>0.94339622641509435</v>
          </cell>
          <cell r="M28">
            <v>0.88167871627578898</v>
          </cell>
          <cell r="N28">
            <v>0.81636918173684159</v>
          </cell>
          <cell r="O28">
            <v>0.75589739049707561</v>
          </cell>
          <cell r="P28">
            <v>0.69990499120099581</v>
          </cell>
          <cell r="Q28">
            <v>0.64806017703795904</v>
          </cell>
          <cell r="R28">
            <v>0.60005571947959169</v>
          </cell>
          <cell r="S28">
            <v>0.5556071476662886</v>
          </cell>
          <cell r="T28">
            <v>0.51445106265397089</v>
          </cell>
          <cell r="U28">
            <v>0.47634357653145448</v>
          </cell>
          <cell r="V28">
            <v>0.44105886715875414</v>
          </cell>
          <cell r="W28">
            <v>0.40838783996180933</v>
          </cell>
          <cell r="X28">
            <v>0.37813688885352714</v>
          </cell>
          <cell r="Y28">
            <v>0.35012674893845103</v>
          </cell>
          <cell r="Z28">
            <v>0.32419143420226942</v>
          </cell>
          <cell r="AA28">
            <v>0.3001772538909902</v>
          </cell>
          <cell r="AB28">
            <v>0.27794190175091682</v>
          </cell>
          <cell r="AC28">
            <v>0.25735361273233043</v>
          </cell>
          <cell r="AD28">
            <v>0.23829038215956519</v>
          </cell>
          <cell r="AE28">
            <v>0.22063924274033814</v>
          </cell>
          <cell r="AF28">
            <v>0.20429559512994272</v>
          </cell>
          <cell r="AG28">
            <v>0.18916258808328026</v>
          </cell>
        </row>
        <row r="29">
          <cell r="C29">
            <v>1990</v>
          </cell>
          <cell r="D29">
            <v>1991</v>
          </cell>
          <cell r="E29">
            <v>1992</v>
          </cell>
          <cell r="F29">
            <v>1993</v>
          </cell>
          <cell r="G29">
            <v>1994</v>
          </cell>
          <cell r="H29">
            <v>1995</v>
          </cell>
          <cell r="I29">
            <v>1996</v>
          </cell>
          <cell r="J29">
            <v>1997</v>
          </cell>
          <cell r="K29">
            <v>1998</v>
          </cell>
          <cell r="L29">
            <v>1999</v>
          </cell>
          <cell r="M29">
            <v>2000</v>
          </cell>
          <cell r="N29">
            <v>2001</v>
          </cell>
          <cell r="O29">
            <v>2002</v>
          </cell>
          <cell r="P29">
            <v>2003</v>
          </cell>
          <cell r="Q29">
            <v>2004</v>
          </cell>
          <cell r="R29">
            <v>2005</v>
          </cell>
          <cell r="S29">
            <v>2006</v>
          </cell>
          <cell r="T29">
            <v>2007</v>
          </cell>
          <cell r="U29">
            <v>2008</v>
          </cell>
          <cell r="V29">
            <v>2009</v>
          </cell>
          <cell r="W29">
            <v>2010</v>
          </cell>
          <cell r="X29">
            <v>2011</v>
          </cell>
          <cell r="Y29">
            <v>2012</v>
          </cell>
          <cell r="Z29">
            <v>2013</v>
          </cell>
          <cell r="AA29">
            <v>2014</v>
          </cell>
          <cell r="AB29">
            <v>2015</v>
          </cell>
          <cell r="AC29">
            <v>2016</v>
          </cell>
          <cell r="AD29">
            <v>2017</v>
          </cell>
          <cell r="AE29">
            <v>2018</v>
          </cell>
          <cell r="AF29">
            <v>2019</v>
          </cell>
          <cell r="AG29">
            <v>2020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14.4</v>
          </cell>
          <cell r="G30">
            <v>49.2</v>
          </cell>
          <cell r="H30">
            <v>12.2</v>
          </cell>
          <cell r="I30">
            <v>12.9</v>
          </cell>
          <cell r="J30">
            <v>13.6</v>
          </cell>
          <cell r="K30">
            <v>25.167857144207119</v>
          </cell>
          <cell r="L30">
            <v>26.167857144207119</v>
          </cell>
          <cell r="M30">
            <v>27.167857144207119</v>
          </cell>
          <cell r="N30">
            <v>28.167857144207119</v>
          </cell>
          <cell r="O30">
            <v>28.667857144207119</v>
          </cell>
          <cell r="P30">
            <v>29.167857144207119</v>
          </cell>
          <cell r="Q30">
            <v>29.667857144207119</v>
          </cell>
          <cell r="R30">
            <v>30.167857144207119</v>
          </cell>
          <cell r="S30">
            <v>30.667857144207119</v>
          </cell>
          <cell r="T30">
            <v>31.167857144207119</v>
          </cell>
          <cell r="U30">
            <v>31.667857144207119</v>
          </cell>
          <cell r="V30">
            <v>32.167857144207119</v>
          </cell>
          <cell r="W30">
            <v>32.667857144207119</v>
          </cell>
          <cell r="X30">
            <v>33.167857144207119</v>
          </cell>
          <cell r="Y30">
            <v>33.667857144207119</v>
          </cell>
          <cell r="Z30">
            <v>34.167857144207119</v>
          </cell>
          <cell r="AA30">
            <v>34.667857144207119</v>
          </cell>
          <cell r="AB30">
            <v>35.167857144207119</v>
          </cell>
          <cell r="AC30">
            <v>35.667857144207119</v>
          </cell>
          <cell r="AD30">
            <v>36.167857144207119</v>
          </cell>
          <cell r="AE30">
            <v>36.667857144207119</v>
          </cell>
          <cell r="AF30">
            <v>37.167857144207119</v>
          </cell>
          <cell r="AG30">
            <v>37.667857144207119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857.91600000000005</v>
          </cell>
          <cell r="G31">
            <v>857.13400000000001</v>
          </cell>
          <cell r="H31">
            <v>959.54899999999998</v>
          </cell>
          <cell r="I31">
            <v>1134.93</v>
          </cell>
          <cell r="J31">
            <v>1148.002</v>
          </cell>
          <cell r="K31">
            <v>2095.5848940000001</v>
          </cell>
          <cell r="L31">
            <v>3113.1045824711</v>
          </cell>
          <cell r="M31">
            <v>4309.0085317780322</v>
          </cell>
          <cell r="N31">
            <v>5706.2852899784029</v>
          </cell>
          <cell r="O31">
            <v>7321.1921767319736</v>
          </cell>
          <cell r="P31">
            <v>9169.0612829964266</v>
          </cell>
          <cell r="Q31">
            <v>11263.898680691364</v>
          </cell>
          <cell r="R31">
            <v>13617.965692160569</v>
          </cell>
          <cell r="S31">
            <v>16241.351482463746</v>
          </cell>
          <cell r="T31">
            <v>19141.547572618572</v>
          </cell>
          <cell r="U31">
            <v>22323.035978166321</v>
          </cell>
          <cell r="V31">
            <v>21139.915071323507</v>
          </cell>
          <cell r="W31">
            <v>20019.499572543358</v>
          </cell>
          <cell r="X31">
            <v>18958.466095198561</v>
          </cell>
          <cell r="Y31">
            <v>17953.667392153035</v>
          </cell>
          <cell r="Z31">
            <v>17002.123020368923</v>
          </cell>
          <cell r="AA31">
            <v>16101.010500289369</v>
          </cell>
          <cell r="AB31">
            <v>15247.656943774031</v>
          </cell>
          <cell r="AC31">
            <v>14439.531125754007</v>
          </cell>
          <cell r="AD31">
            <v>13674.235976089043</v>
          </cell>
          <cell r="AE31">
            <v>12949.501469356323</v>
          </cell>
          <cell r="AF31">
            <v>12263.177891480436</v>
          </cell>
          <cell r="AG31">
            <v>11613.229463231972</v>
          </cell>
        </row>
        <row r="32">
          <cell r="C32">
            <v>16397</v>
          </cell>
          <cell r="D32">
            <v>16397</v>
          </cell>
          <cell r="E32">
            <v>16397</v>
          </cell>
          <cell r="F32">
            <v>16397</v>
          </cell>
          <cell r="G32">
            <v>16397</v>
          </cell>
          <cell r="H32">
            <v>16397</v>
          </cell>
          <cell r="I32">
            <v>16397</v>
          </cell>
          <cell r="J32">
            <v>16397</v>
          </cell>
          <cell r="K32">
            <v>16397</v>
          </cell>
          <cell r="L32">
            <v>16397</v>
          </cell>
          <cell r="M32">
            <v>16397</v>
          </cell>
          <cell r="N32">
            <v>16397</v>
          </cell>
          <cell r="O32">
            <v>16397</v>
          </cell>
          <cell r="P32">
            <v>16396.999999997766</v>
          </cell>
          <cell r="Q32">
            <v>16396.999999997926</v>
          </cell>
          <cell r="R32">
            <v>16396.999999996395</v>
          </cell>
          <cell r="S32">
            <v>16396.999999996602</v>
          </cell>
          <cell r="T32">
            <v>16396.999999996773</v>
          </cell>
          <cell r="U32">
            <v>16396.999999996915</v>
          </cell>
          <cell r="V32">
            <v>16396.999999994994</v>
          </cell>
          <cell r="W32">
            <v>16396.999999997031</v>
          </cell>
          <cell r="X32">
            <v>16396.999999997119</v>
          </cell>
          <cell r="Y32">
            <v>16396.999999995682</v>
          </cell>
          <cell r="Z32">
            <v>16396.999999994434</v>
          </cell>
          <cell r="AA32">
            <v>16396.999999994605</v>
          </cell>
          <cell r="AB32">
            <v>16396.999999994754</v>
          </cell>
          <cell r="AC32">
            <v>16396.999999993812</v>
          </cell>
          <cell r="AD32">
            <v>16396.999999993972</v>
          </cell>
          <cell r="AE32">
            <v>16396.99999999411</v>
          </cell>
          <cell r="AF32">
            <v>16396.999999991654</v>
          </cell>
          <cell r="AG32">
            <v>16396.999999992659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K21"/>
  <sheetViews>
    <sheetView topLeftCell="A13" zoomScale="115" zoomScaleNormal="115" workbookViewId="0">
      <selection sqref="A1:J19"/>
    </sheetView>
  </sheetViews>
  <sheetFormatPr defaultColWidth="9.140625" defaultRowHeight="12.75" x14ac:dyDescent="0.2"/>
  <cols>
    <col min="1" max="1" width="3.42578125" customWidth="1"/>
    <col min="2" max="2" width="37.28515625" bestFit="1" customWidth="1"/>
    <col min="3" max="3" width="6.85546875" customWidth="1"/>
    <col min="4" max="5" width="12.7109375" customWidth="1"/>
    <col min="6" max="6" width="3.7109375" customWidth="1"/>
    <col min="7" max="7" width="40.5703125" bestFit="1" customWidth="1"/>
    <col min="8" max="8" width="8" customWidth="1"/>
    <col min="9" max="9" width="12.7109375" customWidth="1"/>
    <col min="10" max="10" width="12.7109375" style="86" customWidth="1"/>
    <col min="11" max="11" width="13.140625" customWidth="1"/>
  </cols>
  <sheetData>
    <row r="1" spans="1:11" ht="23.25" customHeight="1" thickTop="1" x14ac:dyDescent="0.2">
      <c r="A1" s="120"/>
      <c r="B1" s="121"/>
      <c r="C1" s="122"/>
      <c r="D1" s="571"/>
      <c r="E1" s="572"/>
      <c r="F1" s="123"/>
      <c r="G1" s="121"/>
      <c r="H1" s="568" t="s">
        <v>36</v>
      </c>
      <c r="I1" s="569"/>
      <c r="J1" s="570"/>
    </row>
    <row r="2" spans="1:11" ht="18.75" customHeight="1" x14ac:dyDescent="0.2">
      <c r="A2" s="124" t="s">
        <v>37</v>
      </c>
      <c r="B2" s="125" t="s">
        <v>38</v>
      </c>
      <c r="C2" s="126" t="s">
        <v>39</v>
      </c>
      <c r="D2" s="573" t="s">
        <v>521</v>
      </c>
      <c r="E2" s="575" t="s">
        <v>522</v>
      </c>
      <c r="F2" s="87" t="s">
        <v>37</v>
      </c>
      <c r="G2" s="125" t="s">
        <v>40</v>
      </c>
      <c r="H2" s="126" t="s">
        <v>39</v>
      </c>
      <c r="I2" s="573" t="s">
        <v>521</v>
      </c>
      <c r="J2" s="578" t="s">
        <v>522</v>
      </c>
    </row>
    <row r="3" spans="1:11" ht="21" customHeight="1" thickBot="1" x14ac:dyDescent="0.25">
      <c r="A3" s="127"/>
      <c r="B3" s="166" t="s">
        <v>106</v>
      </c>
      <c r="C3" s="22" t="s">
        <v>41</v>
      </c>
      <c r="D3" s="574"/>
      <c r="E3" s="576"/>
      <c r="F3" s="88"/>
      <c r="G3" s="128" t="s">
        <v>106</v>
      </c>
      <c r="H3" s="22" t="s">
        <v>41</v>
      </c>
      <c r="I3" s="577"/>
      <c r="J3" s="579"/>
    </row>
    <row r="4" spans="1:11" ht="27" customHeight="1" x14ac:dyDescent="0.2">
      <c r="A4" s="129">
        <v>1</v>
      </c>
      <c r="B4" s="130" t="s">
        <v>179</v>
      </c>
      <c r="C4" s="131" t="s">
        <v>33</v>
      </c>
      <c r="D4" s="93">
        <f>'1a-Intézmények bevétele'!F26-'1a-Intézmények bevétele'!E26</f>
        <v>1363442</v>
      </c>
      <c r="E4" s="94">
        <f>'1a-Intézmények bevétele'!K26-'1a-Intézmények bevétele'!J26</f>
        <v>1641746</v>
      </c>
      <c r="F4" s="89">
        <v>1</v>
      </c>
      <c r="G4" s="130" t="s">
        <v>120</v>
      </c>
      <c r="H4" s="131" t="s">
        <v>460</v>
      </c>
      <c r="I4" s="132">
        <f>'8a-Intézmények kiadása'!I26-'8a-Intézmények kiadása'!H26-'8a-Intézmények kiadása'!G26</f>
        <v>3651826</v>
      </c>
      <c r="J4" s="133">
        <f>'8a-Intézmények kiadása'!Q26-'8a-Intézmények kiadása'!P26-'8a-Intézmények kiadása'!O26</f>
        <v>4018686</v>
      </c>
      <c r="K4" s="14"/>
    </row>
    <row r="5" spans="1:11" ht="27" customHeight="1" x14ac:dyDescent="0.2">
      <c r="A5" s="129">
        <v>2</v>
      </c>
      <c r="B5" s="134" t="s">
        <v>44</v>
      </c>
      <c r="C5" s="135" t="s">
        <v>42</v>
      </c>
      <c r="D5" s="95">
        <f>'2-Helyi adóbevételek'!C10</f>
        <v>1509000</v>
      </c>
      <c r="E5" s="96">
        <f>'2-Helyi adóbevételek'!D10</f>
        <v>1509000</v>
      </c>
      <c r="F5" s="90">
        <v>2</v>
      </c>
      <c r="G5" s="134" t="s">
        <v>1</v>
      </c>
      <c r="H5" s="136" t="s">
        <v>458</v>
      </c>
      <c r="I5" s="137">
        <f>'8b-ÖK-i feladatok'!I32-'8b-ÖK-i feladatok'!F32-'8b-ÖK-i feladatok'!G32-'8b-ÖK-i feladatok'!H32</f>
        <v>425604.5</v>
      </c>
      <c r="J5" s="138">
        <f>'8b-ÖK-i feladatok'!Q32-'8b-ÖK-i feladatok'!M32-'8b-ÖK-i feladatok'!O32-'8b-ÖK-i feladatok'!P32</f>
        <v>429574.5</v>
      </c>
      <c r="K5" s="14"/>
    </row>
    <row r="6" spans="1:11" ht="27" customHeight="1" x14ac:dyDescent="0.2">
      <c r="A6" s="129">
        <v>3</v>
      </c>
      <c r="B6" s="134" t="s">
        <v>100</v>
      </c>
      <c r="C6" s="136" t="s">
        <v>29</v>
      </c>
      <c r="D6" s="95">
        <f>'3-Egyéb bevételek'!C12+'4-Átvett pe.'!C13</f>
        <v>267030</v>
      </c>
      <c r="E6" s="97">
        <f>'3-Egyéb bevételek'!D12+'4-Átvett pe.'!D13</f>
        <v>283346</v>
      </c>
      <c r="F6" s="90">
        <v>3</v>
      </c>
      <c r="G6" s="134" t="s">
        <v>46</v>
      </c>
      <c r="H6" s="135" t="s">
        <v>43</v>
      </c>
      <c r="I6" s="137">
        <f>'9-Városüzemeltetés'!H56</f>
        <v>658579</v>
      </c>
      <c r="J6" s="138">
        <f>SUM('9-Városüzemeltetés'!$N56)-'9-Városüzemeltetés'!L56-'9-Városüzemeltetés'!M56</f>
        <v>708528</v>
      </c>
      <c r="K6" s="14"/>
    </row>
    <row r="7" spans="1:11" ht="27" customHeight="1" x14ac:dyDescent="0.2">
      <c r="A7" s="129">
        <v>4</v>
      </c>
      <c r="B7" s="134" t="s">
        <v>88</v>
      </c>
      <c r="C7" s="135" t="s">
        <v>21</v>
      </c>
      <c r="D7" s="98">
        <f>'5-Kp.-i tám.'!C10</f>
        <v>300000</v>
      </c>
      <c r="E7" s="99">
        <f>'5-Kp.-i tám.'!D10</f>
        <v>631619</v>
      </c>
      <c r="F7" s="90">
        <v>4</v>
      </c>
      <c r="G7" s="134" t="s">
        <v>48</v>
      </c>
      <c r="H7" s="135" t="s">
        <v>45</v>
      </c>
      <c r="I7" s="137">
        <f>'10-Szociálpolitikai kiadások'!C23</f>
        <v>90000</v>
      </c>
      <c r="J7" s="138">
        <f>'10-Szociálpolitikai kiadások'!D23</f>
        <v>87470</v>
      </c>
      <c r="K7" s="14"/>
    </row>
    <row r="8" spans="1:11" ht="27" customHeight="1" x14ac:dyDescent="0.2">
      <c r="A8" s="129">
        <v>5</v>
      </c>
      <c r="B8" s="134" t="s">
        <v>50</v>
      </c>
      <c r="C8" s="135" t="s">
        <v>51</v>
      </c>
      <c r="D8" s="95">
        <f>'6-Normatíva '!F54/1000</f>
        <v>1825830.7450000001</v>
      </c>
      <c r="E8" s="97">
        <f>'6-Normatíva '!G54/1000</f>
        <v>1935249.456</v>
      </c>
      <c r="F8" s="90">
        <v>5</v>
      </c>
      <c r="G8" s="134" t="s">
        <v>180</v>
      </c>
      <c r="H8" s="139" t="s">
        <v>47</v>
      </c>
      <c r="I8" s="137">
        <f>'11-Pénzátadás'!C34+'8b-ÖK-i feladatok'!F32</f>
        <v>462559</v>
      </c>
      <c r="J8" s="138">
        <f>'11-Pénzátadás'!D34+'8b-ÖK-i feladatok'!M32</f>
        <v>545942</v>
      </c>
      <c r="K8" s="14"/>
    </row>
    <row r="9" spans="1:11" ht="27" customHeight="1" x14ac:dyDescent="0.2">
      <c r="A9" s="129"/>
      <c r="B9" s="140"/>
      <c r="C9" s="135"/>
      <c r="D9" s="100"/>
      <c r="E9" s="99"/>
      <c r="F9" s="90">
        <v>6</v>
      </c>
      <c r="G9" s="134" t="s">
        <v>172</v>
      </c>
      <c r="H9" s="135" t="s">
        <v>49</v>
      </c>
      <c r="I9" s="137">
        <f>'12-Külön keretek'!C36</f>
        <v>156147</v>
      </c>
      <c r="J9" s="138">
        <f>'12-Külön keretek'!D36</f>
        <v>553294</v>
      </c>
      <c r="K9" s="14"/>
    </row>
    <row r="10" spans="1:11" ht="27" customHeight="1" x14ac:dyDescent="0.2">
      <c r="A10" s="141"/>
      <c r="B10" s="140"/>
      <c r="C10" s="142"/>
      <c r="D10" s="101"/>
      <c r="E10" s="102"/>
      <c r="F10" s="90">
        <v>7</v>
      </c>
      <c r="G10" s="134" t="s">
        <v>472</v>
      </c>
      <c r="H10" s="135" t="s">
        <v>51</v>
      </c>
      <c r="I10" s="143">
        <v>105187</v>
      </c>
      <c r="J10" s="164">
        <v>105187</v>
      </c>
      <c r="K10" s="14"/>
    </row>
    <row r="11" spans="1:11" ht="27" customHeight="1" thickBot="1" x14ac:dyDescent="0.25">
      <c r="A11" s="23"/>
      <c r="B11" s="24" t="s">
        <v>53</v>
      </c>
      <c r="C11" s="25"/>
      <c r="D11" s="103">
        <f>SUM(D4:D10)</f>
        <v>5265302.7450000001</v>
      </c>
      <c r="E11" s="104">
        <f>SUM(E4:E10)</f>
        <v>6000960.4560000002</v>
      </c>
      <c r="F11" s="90"/>
      <c r="G11" s="144" t="s">
        <v>53</v>
      </c>
      <c r="H11" s="135"/>
      <c r="I11" s="145">
        <f>SUM(I4:I10)</f>
        <v>5549902.5</v>
      </c>
      <c r="J11" s="146">
        <f>SUM(J4:J10)</f>
        <v>6448681.5</v>
      </c>
    </row>
    <row r="12" spans="1:11" ht="27" customHeight="1" thickBot="1" x14ac:dyDescent="0.25">
      <c r="A12" s="26"/>
      <c r="B12" s="27" t="s">
        <v>107</v>
      </c>
      <c r="C12" s="28"/>
      <c r="D12" s="105"/>
      <c r="E12" s="106"/>
      <c r="F12" s="29"/>
      <c r="G12" s="30" t="s">
        <v>107</v>
      </c>
      <c r="H12" s="31"/>
      <c r="I12" s="11"/>
      <c r="J12" s="147"/>
    </row>
    <row r="13" spans="1:11" ht="27" customHeight="1" x14ac:dyDescent="0.2">
      <c r="A13" s="32">
        <v>1</v>
      </c>
      <c r="B13" s="33" t="s">
        <v>108</v>
      </c>
      <c r="C13" s="25" t="s">
        <v>52</v>
      </c>
      <c r="D13" s="107">
        <f>'7-Vagyonhasznositási bevétel'!C28</f>
        <v>478834</v>
      </c>
      <c r="E13" s="108">
        <f>'7-Vagyonhasznositási bevétel'!D28</f>
        <v>538063</v>
      </c>
      <c r="F13" s="90">
        <v>1</v>
      </c>
      <c r="G13" s="148" t="s">
        <v>6</v>
      </c>
      <c r="H13" s="34" t="s">
        <v>459</v>
      </c>
      <c r="I13" s="143">
        <f>'8a-Intézmények kiadása'!G26+'8a-Intézmények kiadása'!H26</f>
        <v>15645</v>
      </c>
      <c r="J13" s="164">
        <f>'8a-Intézmények kiadása'!O26+'8a-Intézmények kiadása'!P26</f>
        <v>73914</v>
      </c>
    </row>
    <row r="14" spans="1:11" ht="27" customHeight="1" x14ac:dyDescent="0.2">
      <c r="A14" s="129">
        <v>2</v>
      </c>
      <c r="B14" s="134" t="s">
        <v>54</v>
      </c>
      <c r="C14" s="135" t="s">
        <v>52</v>
      </c>
      <c r="D14" s="95">
        <f>'7-Vagyonhasznositási bevétel'!C31</f>
        <v>250</v>
      </c>
      <c r="E14" s="109">
        <f>'7-Vagyonhasznositási bevétel'!D31</f>
        <v>250</v>
      </c>
      <c r="F14" s="90">
        <v>2</v>
      </c>
      <c r="G14" s="134" t="s">
        <v>312</v>
      </c>
      <c r="H14" s="149">
        <v>8.11</v>
      </c>
      <c r="I14" s="137">
        <f>'11-Pénzátadás'!C9</f>
        <v>10000</v>
      </c>
      <c r="J14" s="138">
        <f>'11-Pénzátadás'!D9</f>
        <v>6581</v>
      </c>
    </row>
    <row r="15" spans="1:11" ht="27" customHeight="1" x14ac:dyDescent="0.2">
      <c r="A15" s="129">
        <v>3</v>
      </c>
      <c r="B15" s="134" t="s">
        <v>118</v>
      </c>
      <c r="C15" s="135" t="s">
        <v>30</v>
      </c>
      <c r="D15" s="110">
        <f>'4-Átvett pe.'!C30</f>
        <v>1023192</v>
      </c>
      <c r="E15" s="111">
        <f>'4-Átvett pe.'!D30</f>
        <v>2641978</v>
      </c>
      <c r="F15" s="90">
        <v>3</v>
      </c>
      <c r="G15" s="134" t="s">
        <v>348</v>
      </c>
      <c r="H15" s="149"/>
      <c r="I15" s="137">
        <f>58351+5000+20895+735-2000-1900-6900</f>
        <v>74181</v>
      </c>
      <c r="J15" s="138">
        <f>74181-1994+7482+1346-29401+6823-7000-350-800-430-370-1000-15000+24511-13882+27764+10738-50670-22102+6000+1500+5000+1780-900-5000+2740+4714+63008-1</f>
        <v>88687</v>
      </c>
    </row>
    <row r="16" spans="1:11" ht="27" customHeight="1" x14ac:dyDescent="0.2">
      <c r="A16" s="141">
        <v>4</v>
      </c>
      <c r="B16" s="140" t="s">
        <v>330</v>
      </c>
      <c r="C16" s="150"/>
      <c r="D16" s="112">
        <v>2033262</v>
      </c>
      <c r="E16" s="113">
        <f>2033262+6457</f>
        <v>2039719</v>
      </c>
      <c r="F16" s="91">
        <v>4</v>
      </c>
      <c r="G16" s="140" t="s">
        <v>156</v>
      </c>
      <c r="H16" s="135"/>
      <c r="I16" s="137">
        <v>310171</v>
      </c>
      <c r="J16" s="138">
        <f>310171-265903+6457</f>
        <v>50725</v>
      </c>
    </row>
    <row r="17" spans="1:10" ht="27" customHeight="1" x14ac:dyDescent="0.2">
      <c r="A17" s="32"/>
      <c r="B17" s="36" t="s">
        <v>53</v>
      </c>
      <c r="C17" s="37"/>
      <c r="D17" s="114">
        <f>SUM(D13:D16)</f>
        <v>3535538</v>
      </c>
      <c r="E17" s="115">
        <f>SUM(E13:E16)</f>
        <v>5220010</v>
      </c>
      <c r="F17" s="35">
        <v>5</v>
      </c>
      <c r="G17" s="20" t="s">
        <v>314</v>
      </c>
      <c r="H17" s="151">
        <v>13.14</v>
      </c>
      <c r="I17" s="152">
        <f>'13-Beruházások'!C42+'14-Felújítások'!C25+'8b-ÖK-i feladatok'!H32</f>
        <v>2840941.4070000001</v>
      </c>
      <c r="J17" s="153">
        <f>'13-Beruházások'!D42+'14-Felújítások'!D25+'9-Városüzemeltetés'!M56+'8b-ÖK-i feladatok'!O32+'8b-ÖK-i feladatok'!P32</f>
        <v>4552381.4069999997</v>
      </c>
    </row>
    <row r="18" spans="1:10" ht="27" customHeight="1" thickBot="1" x14ac:dyDescent="0.25">
      <c r="A18" s="154"/>
      <c r="B18" s="155"/>
      <c r="C18" s="156"/>
      <c r="D18" s="116"/>
      <c r="E18" s="117"/>
      <c r="F18" s="92"/>
      <c r="G18" s="157" t="s">
        <v>53</v>
      </c>
      <c r="H18" s="158"/>
      <c r="I18" s="159">
        <f>SUM(I13:I17)</f>
        <v>3250938.4070000001</v>
      </c>
      <c r="J18" s="160">
        <f>SUM(J13:J17)</f>
        <v>4772288.4069999997</v>
      </c>
    </row>
    <row r="19" spans="1:10" ht="36" customHeight="1" thickBot="1" x14ac:dyDescent="0.25">
      <c r="A19" s="38"/>
      <c r="B19" s="161" t="s">
        <v>19</v>
      </c>
      <c r="C19" s="162"/>
      <c r="D19" s="118">
        <f>D11+D17</f>
        <v>8800840.745000001</v>
      </c>
      <c r="E19" s="119">
        <f>E11+E17</f>
        <v>11220970.456</v>
      </c>
      <c r="F19" s="39"/>
      <c r="G19" s="40" t="s">
        <v>55</v>
      </c>
      <c r="H19" s="41"/>
      <c r="I19" s="21">
        <f>I11+I18</f>
        <v>8800840.9069999997</v>
      </c>
      <c r="J19" s="163">
        <f>J11+J18</f>
        <v>11220969.907</v>
      </c>
    </row>
    <row r="20" spans="1:10" s="50" customFormat="1" ht="13.5" thickTop="1" x14ac:dyDescent="0.2">
      <c r="J20" s="165"/>
    </row>
    <row r="21" spans="1:10" s="50" customFormat="1" x14ac:dyDescent="0.2">
      <c r="J21" s="165"/>
    </row>
  </sheetData>
  <mergeCells count="6">
    <mergeCell ref="H1:J1"/>
    <mergeCell ref="D1:E1"/>
    <mergeCell ref="D2:D3"/>
    <mergeCell ref="E2:E3"/>
    <mergeCell ref="I2:I3"/>
    <mergeCell ref="J2:J3"/>
  </mergeCells>
  <phoneticPr fontId="0" type="noConversion"/>
  <printOptions horizontalCentered="1"/>
  <pageMargins left="0.39370078740157483" right="0.39370078740157483" top="1.6929133858267718" bottom="0.35433070866141736" header="0.74803149606299213" footer="0.59055118110236227"/>
  <pageSetup paperSize="8" scale="91" orientation="landscape" r:id="rId1"/>
  <headerFooter alignWithMargins="0">
    <oddHeader>&amp;C&amp;"Times New Roman,Félkövér"&amp;12 2022. ÉVI KÖLTSÉGVETÉS&amp;"Times New Roman,Normál"
/adatok ezer forintban/&amp;R&amp;"Times New Roman,Normál"&amp;12 1. sz. 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Q21"/>
  <sheetViews>
    <sheetView zoomScale="60" zoomScaleNormal="60" workbookViewId="0">
      <pane xSplit="2" ySplit="3" topLeftCell="C4" activePane="bottomRight" state="frozen"/>
      <selection activeCell="L16" sqref="L16"/>
      <selection pane="topRight" activeCell="L16" sqref="L16"/>
      <selection pane="bottomLeft" activeCell="L16" sqref="L16"/>
      <selection pane="bottomRight" sqref="A1:Q20"/>
    </sheetView>
  </sheetViews>
  <sheetFormatPr defaultRowHeight="12.75" x14ac:dyDescent="0.2"/>
  <cols>
    <col min="1" max="1" width="7" style="55" customWidth="1"/>
    <col min="2" max="2" width="44.7109375" customWidth="1"/>
    <col min="3" max="3" width="8.42578125" bestFit="1" customWidth="1"/>
    <col min="4" max="4" width="8.28515625" bestFit="1" customWidth="1"/>
    <col min="5" max="5" width="8.42578125" bestFit="1" customWidth="1"/>
    <col min="6" max="6" width="7.42578125" bestFit="1" customWidth="1"/>
    <col min="7" max="7" width="5.140625" customWidth="1"/>
    <col min="8" max="8" width="7.42578125" bestFit="1" customWidth="1"/>
    <col min="9" max="10" width="8.42578125" bestFit="1" customWidth="1"/>
    <col min="11" max="11" width="8.28515625" bestFit="1" customWidth="1"/>
    <col min="12" max="12" width="8.140625" customWidth="1"/>
    <col min="13" max="13" width="7.28515625" bestFit="1" customWidth="1"/>
    <col min="14" max="14" width="5.28515625" customWidth="1"/>
    <col min="15" max="15" width="7.28515625" customWidth="1"/>
    <col min="16" max="16" width="7.28515625" bestFit="1" customWidth="1"/>
    <col min="17" max="17" width="9.42578125" customWidth="1"/>
  </cols>
  <sheetData>
    <row r="1" spans="1:17" ht="27.75" customHeight="1" thickTop="1" x14ac:dyDescent="0.2">
      <c r="A1" s="634"/>
      <c r="B1" s="635"/>
      <c r="C1" s="636" t="s">
        <v>523</v>
      </c>
      <c r="D1" s="637"/>
      <c r="E1" s="637"/>
      <c r="F1" s="637"/>
      <c r="G1" s="637"/>
      <c r="H1" s="637"/>
      <c r="I1" s="638"/>
      <c r="J1" s="636" t="s">
        <v>524</v>
      </c>
      <c r="K1" s="637"/>
      <c r="L1" s="637"/>
      <c r="M1" s="637"/>
      <c r="N1" s="637"/>
      <c r="O1" s="637"/>
      <c r="P1" s="637"/>
      <c r="Q1" s="639"/>
    </row>
    <row r="2" spans="1:17" s="4" customFormat="1" ht="125.25" customHeight="1" thickBot="1" x14ac:dyDescent="0.25">
      <c r="A2" s="640" t="s">
        <v>181</v>
      </c>
      <c r="B2" s="641" t="s">
        <v>56</v>
      </c>
      <c r="C2" s="642" t="s">
        <v>67</v>
      </c>
      <c r="D2" s="642" t="s">
        <v>69</v>
      </c>
      <c r="E2" s="642" t="s">
        <v>70</v>
      </c>
      <c r="F2" s="642" t="s">
        <v>71</v>
      </c>
      <c r="G2" s="642" t="s">
        <v>72</v>
      </c>
      <c r="H2" s="642" t="s">
        <v>68</v>
      </c>
      <c r="I2" s="643" t="s">
        <v>53</v>
      </c>
      <c r="J2" s="642" t="s">
        <v>67</v>
      </c>
      <c r="K2" s="642" t="s">
        <v>69</v>
      </c>
      <c r="L2" s="642" t="s">
        <v>70</v>
      </c>
      <c r="M2" s="642" t="s">
        <v>71</v>
      </c>
      <c r="N2" s="642" t="s">
        <v>72</v>
      </c>
      <c r="O2" s="642" t="s">
        <v>68</v>
      </c>
      <c r="P2" s="642" t="s">
        <v>334</v>
      </c>
      <c r="Q2" s="644" t="s">
        <v>53</v>
      </c>
    </row>
    <row r="3" spans="1:17" s="66" customFormat="1" ht="35.1" customHeight="1" thickTop="1" x14ac:dyDescent="0.25">
      <c r="A3" s="645"/>
      <c r="B3" s="646" t="s">
        <v>130</v>
      </c>
      <c r="C3" s="647"/>
      <c r="D3" s="647"/>
      <c r="E3" s="647"/>
      <c r="F3" s="647"/>
      <c r="G3" s="647"/>
      <c r="H3" s="647"/>
      <c r="I3" s="648"/>
      <c r="J3" s="647"/>
      <c r="K3" s="647"/>
      <c r="L3" s="647"/>
      <c r="M3" s="647"/>
      <c r="N3" s="647"/>
      <c r="O3" s="647"/>
      <c r="P3" s="647"/>
      <c r="Q3" s="649"/>
    </row>
    <row r="4" spans="1:17" s="66" customFormat="1" ht="35.1" customHeight="1" x14ac:dyDescent="0.25">
      <c r="A4" s="650" t="s">
        <v>206</v>
      </c>
      <c r="B4" s="651" t="s">
        <v>74</v>
      </c>
      <c r="C4" s="652">
        <v>18857</v>
      </c>
      <c r="D4" s="653">
        <v>2471</v>
      </c>
      <c r="E4" s="653">
        <v>500</v>
      </c>
      <c r="F4" s="653"/>
      <c r="G4" s="653"/>
      <c r="H4" s="653"/>
      <c r="I4" s="654"/>
      <c r="J4" s="652">
        <v>18857</v>
      </c>
      <c r="K4" s="653">
        <v>2471</v>
      </c>
      <c r="L4" s="653">
        <f>500-120</f>
        <v>380</v>
      </c>
      <c r="M4" s="653"/>
      <c r="N4" s="653"/>
      <c r="O4" s="653">
        <v>120</v>
      </c>
      <c r="P4" s="653"/>
      <c r="Q4" s="655">
        <f>SUM(J4:P4)</f>
        <v>21828</v>
      </c>
    </row>
    <row r="5" spans="1:17" s="66" customFormat="1" ht="35.1" customHeight="1" x14ac:dyDescent="0.25">
      <c r="A5" s="650" t="s">
        <v>207</v>
      </c>
      <c r="B5" s="651" t="s">
        <v>76</v>
      </c>
      <c r="C5" s="652">
        <v>3311</v>
      </c>
      <c r="D5" s="653">
        <v>442</v>
      </c>
      <c r="E5" s="653">
        <v>2800</v>
      </c>
      <c r="F5" s="653"/>
      <c r="G5" s="653"/>
      <c r="H5" s="653"/>
      <c r="I5" s="654"/>
      <c r="J5" s="652">
        <v>3311</v>
      </c>
      <c r="K5" s="653">
        <v>442</v>
      </c>
      <c r="L5" s="653">
        <v>2800</v>
      </c>
      <c r="M5" s="653"/>
      <c r="N5" s="653"/>
      <c r="O5" s="653"/>
      <c r="P5" s="653"/>
      <c r="Q5" s="655">
        <f>SUM(J5:P5)</f>
        <v>6553</v>
      </c>
    </row>
    <row r="6" spans="1:17" s="66" customFormat="1" ht="35.1" customHeight="1" x14ac:dyDescent="0.25">
      <c r="A6" s="650" t="s">
        <v>208</v>
      </c>
      <c r="B6" s="651" t="s">
        <v>60</v>
      </c>
      <c r="C6" s="652">
        <v>341588</v>
      </c>
      <c r="D6" s="653">
        <v>49316</v>
      </c>
      <c r="E6" s="653">
        <v>48335</v>
      </c>
      <c r="F6" s="653">
        <v>0</v>
      </c>
      <c r="G6" s="653">
        <v>0</v>
      </c>
      <c r="H6" s="653">
        <v>0</v>
      </c>
      <c r="I6" s="654">
        <f t="shared" ref="I6:I20" si="0">SUM(C6:H6)</f>
        <v>439239</v>
      </c>
      <c r="J6" s="652">
        <v>353789</v>
      </c>
      <c r="K6" s="653">
        <v>50925</v>
      </c>
      <c r="L6" s="653">
        <v>49167</v>
      </c>
      <c r="M6" s="653">
        <v>17458</v>
      </c>
      <c r="N6" s="653">
        <v>0</v>
      </c>
      <c r="O6" s="653">
        <v>993</v>
      </c>
      <c r="P6" s="653">
        <v>8433</v>
      </c>
      <c r="Q6" s="655">
        <f t="shared" ref="Q6:Q18" si="1">SUM(J6:P6)</f>
        <v>480765</v>
      </c>
    </row>
    <row r="7" spans="1:17" s="66" customFormat="1" ht="35.1" customHeight="1" x14ac:dyDescent="0.25">
      <c r="A7" s="650" t="s">
        <v>209</v>
      </c>
      <c r="B7" s="651" t="s">
        <v>9</v>
      </c>
      <c r="C7" s="652">
        <v>30</v>
      </c>
      <c r="D7" s="653"/>
      <c r="E7" s="653">
        <v>5000</v>
      </c>
      <c r="F7" s="653"/>
      <c r="G7" s="653"/>
      <c r="H7" s="653"/>
      <c r="I7" s="654"/>
      <c r="J7" s="652">
        <v>30</v>
      </c>
      <c r="K7" s="653"/>
      <c r="L7" s="653">
        <f>5000+904</f>
        <v>5904</v>
      </c>
      <c r="M7" s="653"/>
      <c r="N7" s="653"/>
      <c r="O7" s="653"/>
      <c r="P7" s="653"/>
      <c r="Q7" s="655">
        <f t="shared" si="1"/>
        <v>5934</v>
      </c>
    </row>
    <row r="8" spans="1:17" s="66" customFormat="1" ht="35.1" customHeight="1" x14ac:dyDescent="0.25">
      <c r="A8" s="650" t="s">
        <v>210</v>
      </c>
      <c r="B8" s="651" t="s">
        <v>98</v>
      </c>
      <c r="C8" s="652"/>
      <c r="D8" s="653"/>
      <c r="E8" s="653"/>
      <c r="F8" s="653"/>
      <c r="G8" s="653"/>
      <c r="H8" s="653"/>
      <c r="I8" s="654"/>
      <c r="J8" s="652"/>
      <c r="K8" s="653"/>
      <c r="L8" s="653"/>
      <c r="M8" s="653"/>
      <c r="N8" s="653"/>
      <c r="O8" s="653"/>
      <c r="P8" s="653"/>
      <c r="Q8" s="655">
        <f t="shared" si="1"/>
        <v>0</v>
      </c>
    </row>
    <row r="9" spans="1:17" s="66" customFormat="1" ht="35.1" customHeight="1" x14ac:dyDescent="0.25">
      <c r="A9" s="650" t="s">
        <v>211</v>
      </c>
      <c r="B9" s="651" t="s">
        <v>77</v>
      </c>
      <c r="C9" s="652">
        <f>6152+500</f>
        <v>6652</v>
      </c>
      <c r="D9" s="653">
        <f>811+65</f>
        <v>876</v>
      </c>
      <c r="E9" s="653">
        <v>1500</v>
      </c>
      <c r="F9" s="653"/>
      <c r="G9" s="653"/>
      <c r="H9" s="653"/>
      <c r="I9" s="654"/>
      <c r="J9" s="652">
        <f>6152+500</f>
        <v>6652</v>
      </c>
      <c r="K9" s="653">
        <f>811+65</f>
        <v>876</v>
      </c>
      <c r="L9" s="653">
        <v>1500</v>
      </c>
      <c r="M9" s="653"/>
      <c r="N9" s="653"/>
      <c r="O9" s="653"/>
      <c r="P9" s="653"/>
      <c r="Q9" s="655">
        <f t="shared" si="1"/>
        <v>9028</v>
      </c>
    </row>
    <row r="10" spans="1:17" s="66" customFormat="1" ht="35.1" customHeight="1" x14ac:dyDescent="0.25">
      <c r="A10" s="650" t="s">
        <v>212</v>
      </c>
      <c r="B10" s="651" t="s">
        <v>8</v>
      </c>
      <c r="C10" s="653">
        <v>3076</v>
      </c>
      <c r="D10" s="653">
        <v>407</v>
      </c>
      <c r="E10" s="653">
        <v>7450</v>
      </c>
      <c r="F10" s="653">
        <v>0</v>
      </c>
      <c r="G10" s="653">
        <v>0</v>
      </c>
      <c r="H10" s="653">
        <v>800</v>
      </c>
      <c r="I10" s="654">
        <f t="shared" si="0"/>
        <v>11733</v>
      </c>
      <c r="J10" s="653">
        <v>3076</v>
      </c>
      <c r="K10" s="653">
        <v>407</v>
      </c>
      <c r="L10" s="653">
        <v>8703</v>
      </c>
      <c r="M10" s="653">
        <v>0</v>
      </c>
      <c r="N10" s="653">
        <v>0</v>
      </c>
      <c r="O10" s="653">
        <v>300</v>
      </c>
      <c r="P10" s="653">
        <v>500</v>
      </c>
      <c r="Q10" s="655">
        <f t="shared" si="1"/>
        <v>12986</v>
      </c>
    </row>
    <row r="11" spans="1:17" s="66" customFormat="1" ht="35.1" customHeight="1" x14ac:dyDescent="0.25">
      <c r="A11" s="650" t="s">
        <v>231</v>
      </c>
      <c r="B11" s="651" t="s">
        <v>96</v>
      </c>
      <c r="C11" s="652">
        <v>3311</v>
      </c>
      <c r="D11" s="653">
        <v>442</v>
      </c>
      <c r="E11" s="653">
        <v>100</v>
      </c>
      <c r="F11" s="653"/>
      <c r="G11" s="653"/>
      <c r="H11" s="653"/>
      <c r="I11" s="654"/>
      <c r="J11" s="652">
        <v>3311</v>
      </c>
      <c r="K11" s="653">
        <v>442</v>
      </c>
      <c r="L11" s="653">
        <v>100</v>
      </c>
      <c r="M11" s="653"/>
      <c r="N11" s="653"/>
      <c r="O11" s="653"/>
      <c r="P11" s="653"/>
      <c r="Q11" s="655">
        <f t="shared" si="1"/>
        <v>3853</v>
      </c>
    </row>
    <row r="12" spans="1:17" s="66" customFormat="1" ht="35.1" customHeight="1" x14ac:dyDescent="0.25">
      <c r="A12" s="650" t="s">
        <v>232</v>
      </c>
      <c r="B12" s="651" t="s">
        <v>508</v>
      </c>
      <c r="C12" s="652">
        <f>330+7</f>
        <v>337</v>
      </c>
      <c r="D12" s="653">
        <f>45+3</f>
        <v>48</v>
      </c>
      <c r="E12" s="653">
        <v>253</v>
      </c>
      <c r="F12" s="653"/>
      <c r="G12" s="653"/>
      <c r="H12" s="653"/>
      <c r="I12" s="654"/>
      <c r="J12" s="652">
        <f>330+7+2</f>
        <v>339</v>
      </c>
      <c r="K12" s="653">
        <f>45+3-2</f>
        <v>46</v>
      </c>
      <c r="L12" s="653">
        <v>253</v>
      </c>
      <c r="M12" s="653"/>
      <c r="N12" s="653"/>
      <c r="O12" s="653"/>
      <c r="P12" s="653"/>
      <c r="Q12" s="655">
        <f t="shared" si="1"/>
        <v>638</v>
      </c>
    </row>
    <row r="13" spans="1:17" s="66" customFormat="1" ht="35.1" customHeight="1" x14ac:dyDescent="0.25">
      <c r="A13" s="650" t="s">
        <v>233</v>
      </c>
      <c r="B13" s="651" t="s">
        <v>154</v>
      </c>
      <c r="C13" s="652">
        <f>425+450</f>
        <v>875</v>
      </c>
      <c r="D13" s="653">
        <v>115</v>
      </c>
      <c r="E13" s="653">
        <v>1200</v>
      </c>
      <c r="F13" s="653"/>
      <c r="G13" s="653"/>
      <c r="H13" s="653"/>
      <c r="I13" s="654"/>
      <c r="J13" s="652">
        <f>425+450</f>
        <v>875</v>
      </c>
      <c r="K13" s="653">
        <v>115</v>
      </c>
      <c r="L13" s="653">
        <v>1200</v>
      </c>
      <c r="M13" s="653"/>
      <c r="N13" s="653"/>
      <c r="O13" s="653"/>
      <c r="P13" s="653"/>
      <c r="Q13" s="655">
        <f t="shared" si="1"/>
        <v>2190</v>
      </c>
    </row>
    <row r="14" spans="1:17" s="66" customFormat="1" ht="35.1" customHeight="1" x14ac:dyDescent="0.25">
      <c r="A14" s="650" t="s">
        <v>234</v>
      </c>
      <c r="B14" s="651" t="s">
        <v>10</v>
      </c>
      <c r="C14" s="652"/>
      <c r="D14" s="653"/>
      <c r="E14" s="653">
        <v>5500</v>
      </c>
      <c r="F14" s="653"/>
      <c r="G14" s="653"/>
      <c r="H14" s="653">
        <f>5000+3850+3800</f>
        <v>12650</v>
      </c>
      <c r="I14" s="654"/>
      <c r="J14" s="652"/>
      <c r="K14" s="653"/>
      <c r="L14" s="653">
        <f>5500+67</f>
        <v>5567</v>
      </c>
      <c r="M14" s="653"/>
      <c r="N14" s="653"/>
      <c r="O14" s="653">
        <f>5000+3850+3800-583-67</f>
        <v>12000</v>
      </c>
      <c r="P14" s="653">
        <v>583</v>
      </c>
      <c r="Q14" s="655">
        <f t="shared" si="1"/>
        <v>18150</v>
      </c>
    </row>
    <row r="15" spans="1:17" s="66" customFormat="1" ht="35.1" customHeight="1" x14ac:dyDescent="0.25">
      <c r="A15" s="650" t="s">
        <v>235</v>
      </c>
      <c r="B15" s="656" t="s">
        <v>110</v>
      </c>
      <c r="C15" s="652"/>
      <c r="D15" s="653"/>
      <c r="E15" s="653">
        <f>9500+1200+1300</f>
        <v>12000</v>
      </c>
      <c r="F15" s="653"/>
      <c r="G15" s="653"/>
      <c r="H15" s="653"/>
      <c r="I15" s="654"/>
      <c r="J15" s="652"/>
      <c r="K15" s="653"/>
      <c r="L15" s="653">
        <f>9500+1200+1300</f>
        <v>12000</v>
      </c>
      <c r="M15" s="653"/>
      <c r="N15" s="653"/>
      <c r="O15" s="653"/>
      <c r="P15" s="653"/>
      <c r="Q15" s="655">
        <f t="shared" si="1"/>
        <v>12000</v>
      </c>
    </row>
    <row r="16" spans="1:17" s="66" customFormat="1" ht="35.1" customHeight="1" x14ac:dyDescent="0.25">
      <c r="A16" s="657" t="s">
        <v>529</v>
      </c>
      <c r="B16" s="658" t="s">
        <v>531</v>
      </c>
      <c r="C16" s="652"/>
      <c r="D16" s="653"/>
      <c r="E16" s="653"/>
      <c r="F16" s="653"/>
      <c r="G16" s="653"/>
      <c r="H16" s="653"/>
      <c r="I16" s="654"/>
      <c r="J16" s="652">
        <v>8434</v>
      </c>
      <c r="K16" s="653">
        <v>1158</v>
      </c>
      <c r="L16" s="653">
        <v>1951</v>
      </c>
      <c r="M16" s="653"/>
      <c r="N16" s="653"/>
      <c r="O16" s="653"/>
      <c r="P16" s="653"/>
      <c r="Q16" s="655">
        <f t="shared" si="1"/>
        <v>11543</v>
      </c>
    </row>
    <row r="17" spans="1:17" s="66" customFormat="1" ht="35.1" customHeight="1" x14ac:dyDescent="0.25">
      <c r="A17" s="657" t="s">
        <v>530</v>
      </c>
      <c r="B17" s="658" t="s">
        <v>532</v>
      </c>
      <c r="C17" s="652"/>
      <c r="D17" s="653"/>
      <c r="E17" s="653"/>
      <c r="F17" s="653"/>
      <c r="G17" s="653"/>
      <c r="H17" s="653"/>
      <c r="I17" s="654"/>
      <c r="J17" s="652">
        <v>16414</v>
      </c>
      <c r="K17" s="653">
        <v>2134</v>
      </c>
      <c r="L17" s="653">
        <f>950-535</f>
        <v>415</v>
      </c>
      <c r="M17" s="653"/>
      <c r="N17" s="653"/>
      <c r="O17" s="653">
        <v>535</v>
      </c>
      <c r="P17" s="653"/>
      <c r="Q17" s="655">
        <f t="shared" si="1"/>
        <v>19498</v>
      </c>
    </row>
    <row r="18" spans="1:17" s="66" customFormat="1" ht="35.1" customHeight="1" x14ac:dyDescent="0.25">
      <c r="A18" s="657" t="s">
        <v>574</v>
      </c>
      <c r="B18" s="658" t="s">
        <v>561</v>
      </c>
      <c r="C18" s="652"/>
      <c r="D18" s="653"/>
      <c r="E18" s="653"/>
      <c r="F18" s="653"/>
      <c r="G18" s="653"/>
      <c r="H18" s="653"/>
      <c r="I18" s="654"/>
      <c r="J18" s="652">
        <v>9323</v>
      </c>
      <c r="K18" s="653">
        <v>1166</v>
      </c>
      <c r="L18" s="653">
        <f>871-314</f>
        <v>557</v>
      </c>
      <c r="M18" s="653"/>
      <c r="N18" s="653"/>
      <c r="O18" s="653">
        <v>314</v>
      </c>
      <c r="P18" s="653"/>
      <c r="Q18" s="655">
        <f t="shared" si="1"/>
        <v>11360</v>
      </c>
    </row>
    <row r="19" spans="1:17" s="66" customFormat="1" ht="35.1" customHeight="1" thickBot="1" x14ac:dyDescent="0.3">
      <c r="A19" s="657"/>
      <c r="B19" s="651"/>
      <c r="C19" s="652"/>
      <c r="D19" s="653"/>
      <c r="E19" s="653"/>
      <c r="F19" s="653"/>
      <c r="G19" s="653"/>
      <c r="H19" s="653"/>
      <c r="I19" s="654"/>
      <c r="J19" s="652"/>
      <c r="K19" s="653"/>
      <c r="L19" s="653"/>
      <c r="M19" s="653"/>
      <c r="N19" s="653"/>
      <c r="O19" s="653"/>
      <c r="P19" s="653"/>
      <c r="Q19" s="655"/>
    </row>
    <row r="20" spans="1:17" s="67" customFormat="1" ht="35.1" customHeight="1" thickBot="1" x14ac:dyDescent="0.3">
      <c r="A20" s="659"/>
      <c r="B20" s="660" t="s">
        <v>131</v>
      </c>
      <c r="C20" s="661">
        <f t="shared" ref="C20:H20" si="2">SUM(C4:C19)</f>
        <v>378037</v>
      </c>
      <c r="D20" s="661">
        <f t="shared" si="2"/>
        <v>54117</v>
      </c>
      <c r="E20" s="661">
        <f t="shared" si="2"/>
        <v>84638</v>
      </c>
      <c r="F20" s="661">
        <f t="shared" si="2"/>
        <v>0</v>
      </c>
      <c r="G20" s="661">
        <f t="shared" si="2"/>
        <v>0</v>
      </c>
      <c r="H20" s="661">
        <f t="shared" si="2"/>
        <v>13450</v>
      </c>
      <c r="I20" s="662">
        <f t="shared" si="0"/>
        <v>530242</v>
      </c>
      <c r="J20" s="663">
        <f t="shared" ref="J20:P20" si="3">SUM(J4:J19)</f>
        <v>424411</v>
      </c>
      <c r="K20" s="664">
        <f t="shared" si="3"/>
        <v>60182</v>
      </c>
      <c r="L20" s="661">
        <f t="shared" si="3"/>
        <v>90497</v>
      </c>
      <c r="M20" s="661">
        <f t="shared" si="3"/>
        <v>17458</v>
      </c>
      <c r="N20" s="661">
        <f t="shared" si="3"/>
        <v>0</v>
      </c>
      <c r="O20" s="661">
        <f t="shared" si="3"/>
        <v>14262</v>
      </c>
      <c r="P20" s="661">
        <f t="shared" si="3"/>
        <v>9516</v>
      </c>
      <c r="Q20" s="665">
        <f>SUM(J20:P20)</f>
        <v>616326</v>
      </c>
    </row>
    <row r="21" spans="1:17" ht="13.5" thickTop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64"/>
    </row>
  </sheetData>
  <mergeCells count="2">
    <mergeCell ref="C1:I1"/>
    <mergeCell ref="J1:Q1"/>
  </mergeCells>
  <phoneticPr fontId="0" type="noConversion"/>
  <printOptions horizontalCentered="1" gridLines="1"/>
  <pageMargins left="0.82677165354330717" right="0.74803149606299213" top="1.4173228346456694" bottom="0.43307086614173229" header="0.78740157480314965" footer="0.51181102362204722"/>
  <pageSetup paperSize="8" scale="60" orientation="landscape" blackAndWhite="1" r:id="rId1"/>
  <headerFooter alignWithMargins="0">
    <oddHeader>&amp;C&amp;"Times New Roman CE,Félkövér"&amp;16Tájékoztató adatok
Polgármesteri hivatali feladatok&amp;"Times New Roman CE,Normál"&amp;18
&amp;11/ ezer Ft /&amp;R&amp;"Times New Roman,Normál"&amp;12 8/c. sz.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50" zoomScaleNormal="50" workbookViewId="0">
      <pane xSplit="2" ySplit="3" topLeftCell="C4" activePane="bottomRight" state="frozen"/>
      <selection activeCell="L16" sqref="L16"/>
      <selection pane="topRight" activeCell="L16" sqref="L16"/>
      <selection pane="bottomLeft" activeCell="L16" sqref="L16"/>
      <selection pane="bottomRight" sqref="A1:Q32"/>
    </sheetView>
  </sheetViews>
  <sheetFormatPr defaultColWidth="9.140625" defaultRowHeight="12.75" x14ac:dyDescent="0.2"/>
  <cols>
    <col min="2" max="2" width="48.85546875" customWidth="1"/>
  </cols>
  <sheetData>
    <row r="1" spans="1:17" ht="26.25" customHeight="1" thickTop="1" x14ac:dyDescent="0.2">
      <c r="A1" s="422"/>
      <c r="B1" s="423"/>
      <c r="C1" s="615" t="s">
        <v>523</v>
      </c>
      <c r="D1" s="617"/>
      <c r="E1" s="617"/>
      <c r="F1" s="617"/>
      <c r="G1" s="617"/>
      <c r="H1" s="617"/>
      <c r="I1" s="618"/>
      <c r="J1" s="615" t="s">
        <v>524</v>
      </c>
      <c r="K1" s="617"/>
      <c r="L1" s="617"/>
      <c r="M1" s="617"/>
      <c r="N1" s="617"/>
      <c r="O1" s="617"/>
      <c r="P1" s="617"/>
      <c r="Q1" s="619"/>
    </row>
    <row r="2" spans="1:17" ht="83.25" customHeight="1" thickBot="1" x14ac:dyDescent="0.25">
      <c r="A2" s="419" t="s">
        <v>181</v>
      </c>
      <c r="B2" s="424" t="s">
        <v>56</v>
      </c>
      <c r="C2" s="425" t="s">
        <v>67</v>
      </c>
      <c r="D2" s="425" t="s">
        <v>69</v>
      </c>
      <c r="E2" s="425" t="s">
        <v>70</v>
      </c>
      <c r="F2" s="425" t="s">
        <v>71</v>
      </c>
      <c r="G2" s="425" t="s">
        <v>72</v>
      </c>
      <c r="H2" s="425" t="s">
        <v>68</v>
      </c>
      <c r="I2" s="426" t="s">
        <v>53</v>
      </c>
      <c r="J2" s="425" t="s">
        <v>67</v>
      </c>
      <c r="K2" s="425" t="s">
        <v>69</v>
      </c>
      <c r="L2" s="425" t="s">
        <v>70</v>
      </c>
      <c r="M2" s="425" t="s">
        <v>71</v>
      </c>
      <c r="N2" s="425" t="s">
        <v>72</v>
      </c>
      <c r="O2" s="425" t="s">
        <v>68</v>
      </c>
      <c r="P2" s="425" t="s">
        <v>334</v>
      </c>
      <c r="Q2" s="427" t="s">
        <v>53</v>
      </c>
    </row>
    <row r="3" spans="1:17" s="66" customFormat="1" ht="35.1" customHeight="1" thickTop="1" x14ac:dyDescent="0.25">
      <c r="A3" s="420"/>
      <c r="B3" s="440" t="s">
        <v>1</v>
      </c>
      <c r="C3" s="441"/>
      <c r="D3" s="441"/>
      <c r="E3" s="441"/>
      <c r="F3" s="441"/>
      <c r="G3" s="441"/>
      <c r="H3" s="441"/>
      <c r="I3" s="442"/>
      <c r="J3" s="441"/>
      <c r="K3" s="441"/>
      <c r="L3" s="441"/>
      <c r="M3" s="441"/>
      <c r="N3" s="441"/>
      <c r="O3" s="441"/>
      <c r="P3" s="441"/>
      <c r="Q3" s="443"/>
    </row>
    <row r="4" spans="1:17" s="66" customFormat="1" ht="35.1" customHeight="1" x14ac:dyDescent="0.25">
      <c r="A4" s="428" t="s">
        <v>196</v>
      </c>
      <c r="B4" s="429" t="s">
        <v>62</v>
      </c>
      <c r="C4" s="430"/>
      <c r="D4" s="431"/>
      <c r="E4" s="431">
        <v>20000</v>
      </c>
      <c r="F4" s="431"/>
      <c r="G4" s="431"/>
      <c r="H4" s="431"/>
      <c r="I4" s="432">
        <f>SUM(C4:H4)</f>
        <v>20000</v>
      </c>
      <c r="J4" s="430"/>
      <c r="K4" s="431"/>
      <c r="L4" s="431">
        <v>20000</v>
      </c>
      <c r="M4" s="431"/>
      <c r="N4" s="431"/>
      <c r="O4" s="431"/>
      <c r="P4" s="431"/>
      <c r="Q4" s="433">
        <f>SUM(J4:P4)</f>
        <v>20000</v>
      </c>
    </row>
    <row r="5" spans="1:17" s="66" customFormat="1" ht="35.1" customHeight="1" x14ac:dyDescent="0.25">
      <c r="A5" s="428" t="s">
        <v>197</v>
      </c>
      <c r="B5" s="429" t="s">
        <v>22</v>
      </c>
      <c r="C5" s="430"/>
      <c r="D5" s="431"/>
      <c r="E5" s="431">
        <v>16500</v>
      </c>
      <c r="F5" s="431"/>
      <c r="G5" s="431"/>
      <c r="H5" s="431"/>
      <c r="I5" s="432">
        <f t="shared" ref="I5:I29" si="0">SUM(C5:H5)</f>
        <v>16500</v>
      </c>
      <c r="J5" s="430"/>
      <c r="K5" s="431"/>
      <c r="L5" s="431">
        <f>16500+2159+150-200</f>
        <v>18609</v>
      </c>
      <c r="M5" s="431"/>
      <c r="N5" s="431"/>
      <c r="O5" s="431"/>
      <c r="P5" s="431"/>
      <c r="Q5" s="433">
        <f t="shared" ref="Q5:Q26" si="1">SUM(J5:P5)</f>
        <v>18609</v>
      </c>
    </row>
    <row r="6" spans="1:17" s="66" customFormat="1" ht="35.1" customHeight="1" x14ac:dyDescent="0.25">
      <c r="A6" s="428" t="s">
        <v>198</v>
      </c>
      <c r="B6" s="429" t="s">
        <v>81</v>
      </c>
      <c r="C6" s="430">
        <v>64857</v>
      </c>
      <c r="D6" s="431">
        <v>8176</v>
      </c>
      <c r="E6" s="431">
        <v>2700</v>
      </c>
      <c r="F6" s="431"/>
      <c r="G6" s="431"/>
      <c r="H6" s="431">
        <v>1000</v>
      </c>
      <c r="I6" s="432">
        <f t="shared" si="0"/>
        <v>76733</v>
      </c>
      <c r="J6" s="430">
        <f>64857-2925</f>
        <v>61932</v>
      </c>
      <c r="K6" s="431">
        <f>8176-380</f>
        <v>7796</v>
      </c>
      <c r="L6" s="431">
        <v>2700</v>
      </c>
      <c r="M6" s="431"/>
      <c r="N6" s="431"/>
      <c r="O6" s="431">
        <v>1000</v>
      </c>
      <c r="P6" s="431"/>
      <c r="Q6" s="433">
        <f t="shared" si="1"/>
        <v>73428</v>
      </c>
    </row>
    <row r="7" spans="1:17" s="66" customFormat="1" ht="35.1" customHeight="1" x14ac:dyDescent="0.25">
      <c r="A7" s="428" t="s">
        <v>199</v>
      </c>
      <c r="B7" s="429" t="s">
        <v>75</v>
      </c>
      <c r="C7" s="430">
        <v>10306</v>
      </c>
      <c r="D7" s="431">
        <v>1361</v>
      </c>
      <c r="E7" s="431">
        <v>500</v>
      </c>
      <c r="F7" s="431"/>
      <c r="G7" s="431"/>
      <c r="H7" s="431"/>
      <c r="I7" s="432">
        <f t="shared" si="0"/>
        <v>12167</v>
      </c>
      <c r="J7" s="430">
        <v>10306</v>
      </c>
      <c r="K7" s="431">
        <v>1361</v>
      </c>
      <c r="L7" s="431">
        <v>500</v>
      </c>
      <c r="M7" s="431"/>
      <c r="N7" s="431"/>
      <c r="O7" s="431"/>
      <c r="P7" s="431"/>
      <c r="Q7" s="433">
        <f t="shared" si="1"/>
        <v>12167</v>
      </c>
    </row>
    <row r="8" spans="1:17" s="66" customFormat="1" ht="35.1" customHeight="1" x14ac:dyDescent="0.25">
      <c r="A8" s="428" t="s">
        <v>213</v>
      </c>
      <c r="B8" s="429" t="s">
        <v>91</v>
      </c>
      <c r="C8" s="430"/>
      <c r="D8" s="431"/>
      <c r="E8" s="431">
        <v>5000</v>
      </c>
      <c r="F8" s="431"/>
      <c r="G8" s="431"/>
      <c r="H8" s="431"/>
      <c r="I8" s="432">
        <f t="shared" si="0"/>
        <v>5000</v>
      </c>
      <c r="J8" s="430"/>
      <c r="K8" s="431"/>
      <c r="L8" s="431">
        <v>5000</v>
      </c>
      <c r="M8" s="431"/>
      <c r="N8" s="431"/>
      <c r="O8" s="431"/>
      <c r="P8" s="431"/>
      <c r="Q8" s="433">
        <f t="shared" si="1"/>
        <v>5000</v>
      </c>
    </row>
    <row r="9" spans="1:17" s="66" customFormat="1" ht="35.1" customHeight="1" x14ac:dyDescent="0.25">
      <c r="A9" s="428" t="s">
        <v>214</v>
      </c>
      <c r="B9" s="429" t="s">
        <v>64</v>
      </c>
      <c r="C9" s="430">
        <v>30</v>
      </c>
      <c r="D9" s="431">
        <v>15</v>
      </c>
      <c r="E9" s="431">
        <v>275</v>
      </c>
      <c r="F9" s="431">
        <v>200</v>
      </c>
      <c r="G9" s="431"/>
      <c r="H9" s="431"/>
      <c r="I9" s="432">
        <f t="shared" si="0"/>
        <v>520</v>
      </c>
      <c r="J9" s="430">
        <v>30</v>
      </c>
      <c r="K9" s="431">
        <v>15</v>
      </c>
      <c r="L9" s="431">
        <v>275</v>
      </c>
      <c r="M9" s="431">
        <v>200</v>
      </c>
      <c r="N9" s="431"/>
      <c r="O9" s="431"/>
      <c r="P9" s="431"/>
      <c r="Q9" s="433">
        <f t="shared" si="1"/>
        <v>520</v>
      </c>
    </row>
    <row r="10" spans="1:17" s="66" customFormat="1" ht="35.1" customHeight="1" x14ac:dyDescent="0.25">
      <c r="A10" s="428" t="s">
        <v>215</v>
      </c>
      <c r="B10" s="429" t="s">
        <v>82</v>
      </c>
      <c r="C10" s="430"/>
      <c r="D10" s="431"/>
      <c r="E10" s="431">
        <v>2600</v>
      </c>
      <c r="F10" s="431"/>
      <c r="G10" s="431"/>
      <c r="H10" s="431"/>
      <c r="I10" s="432">
        <f t="shared" si="0"/>
        <v>2600</v>
      </c>
      <c r="J10" s="430"/>
      <c r="K10" s="431"/>
      <c r="L10" s="431">
        <v>2600</v>
      </c>
      <c r="M10" s="431"/>
      <c r="N10" s="431"/>
      <c r="O10" s="431"/>
      <c r="P10" s="431"/>
      <c r="Q10" s="433">
        <f t="shared" si="1"/>
        <v>2600</v>
      </c>
    </row>
    <row r="11" spans="1:17" s="66" customFormat="1" ht="35.1" customHeight="1" x14ac:dyDescent="0.25">
      <c r="A11" s="428" t="s">
        <v>217</v>
      </c>
      <c r="B11" s="429" t="s">
        <v>579</v>
      </c>
      <c r="C11" s="430">
        <v>123370</v>
      </c>
      <c r="D11" s="431">
        <v>12337</v>
      </c>
      <c r="E11" s="431">
        <v>300</v>
      </c>
      <c r="F11" s="431"/>
      <c r="G11" s="431"/>
      <c r="H11" s="431"/>
      <c r="I11" s="432">
        <f t="shared" si="0"/>
        <v>136007</v>
      </c>
      <c r="J11" s="430">
        <f>123370+9974</f>
        <v>133344</v>
      </c>
      <c r="K11" s="431">
        <f>12337+998</f>
        <v>13335</v>
      </c>
      <c r="L11" s="431">
        <v>300</v>
      </c>
      <c r="M11" s="431"/>
      <c r="N11" s="431"/>
      <c r="O11" s="431"/>
      <c r="P11" s="431"/>
      <c r="Q11" s="433">
        <f t="shared" si="1"/>
        <v>146979</v>
      </c>
    </row>
    <row r="12" spans="1:17" s="66" customFormat="1" ht="35.1" customHeight="1" x14ac:dyDescent="0.25">
      <c r="A12" s="428" t="s">
        <v>218</v>
      </c>
      <c r="B12" s="429" t="s">
        <v>89</v>
      </c>
      <c r="C12" s="430"/>
      <c r="D12" s="431"/>
      <c r="E12" s="431">
        <f>25000+7636</f>
        <v>32636</v>
      </c>
      <c r="F12" s="431"/>
      <c r="G12" s="431"/>
      <c r="H12" s="431"/>
      <c r="I12" s="432">
        <f t="shared" si="0"/>
        <v>32636</v>
      </c>
      <c r="J12" s="430"/>
      <c r="K12" s="431"/>
      <c r="L12" s="431">
        <f>25000+7636</f>
        <v>32636</v>
      </c>
      <c r="M12" s="431"/>
      <c r="N12" s="431"/>
      <c r="O12" s="431"/>
      <c r="P12" s="431"/>
      <c r="Q12" s="433">
        <f t="shared" si="1"/>
        <v>32636</v>
      </c>
    </row>
    <row r="13" spans="1:17" s="66" customFormat="1" ht="35.1" customHeight="1" x14ac:dyDescent="0.25">
      <c r="A13" s="428" t="s">
        <v>219</v>
      </c>
      <c r="B13" s="429" t="s">
        <v>78</v>
      </c>
      <c r="C13" s="430">
        <v>15911</v>
      </c>
      <c r="D13" s="431">
        <v>2120</v>
      </c>
      <c r="E13" s="431">
        <v>14000</v>
      </c>
      <c r="F13" s="431"/>
      <c r="G13" s="431"/>
      <c r="H13" s="431"/>
      <c r="I13" s="432">
        <f t="shared" si="0"/>
        <v>32031</v>
      </c>
      <c r="J13" s="430">
        <v>15911</v>
      </c>
      <c r="K13" s="431">
        <v>2120</v>
      </c>
      <c r="L13" s="431">
        <f>14000-147</f>
        <v>13853</v>
      </c>
      <c r="M13" s="431"/>
      <c r="N13" s="431"/>
      <c r="O13" s="431">
        <v>147</v>
      </c>
      <c r="P13" s="431"/>
      <c r="Q13" s="433">
        <f t="shared" si="1"/>
        <v>32031</v>
      </c>
    </row>
    <row r="14" spans="1:17" s="66" customFormat="1" ht="35.1" customHeight="1" x14ac:dyDescent="0.25">
      <c r="A14" s="428" t="s">
        <v>220</v>
      </c>
      <c r="B14" s="429" t="s">
        <v>92</v>
      </c>
      <c r="C14" s="430">
        <v>13965</v>
      </c>
      <c r="D14" s="431">
        <v>1848</v>
      </c>
      <c r="E14" s="431">
        <v>300</v>
      </c>
      <c r="F14" s="431"/>
      <c r="G14" s="431"/>
      <c r="H14" s="431"/>
      <c r="I14" s="432">
        <f t="shared" si="0"/>
        <v>16113</v>
      </c>
      <c r="J14" s="430">
        <v>13965</v>
      </c>
      <c r="K14" s="431">
        <v>1848</v>
      </c>
      <c r="L14" s="431">
        <v>300</v>
      </c>
      <c r="M14" s="431"/>
      <c r="N14" s="431"/>
      <c r="O14" s="431"/>
      <c r="P14" s="431"/>
      <c r="Q14" s="433">
        <f t="shared" si="1"/>
        <v>16113</v>
      </c>
    </row>
    <row r="15" spans="1:17" s="66" customFormat="1" ht="35.1" customHeight="1" x14ac:dyDescent="0.25">
      <c r="A15" s="428" t="s">
        <v>221</v>
      </c>
      <c r="B15" s="429" t="s">
        <v>90</v>
      </c>
      <c r="C15" s="430">
        <v>3880</v>
      </c>
      <c r="D15" s="431">
        <v>517</v>
      </c>
      <c r="E15" s="431"/>
      <c r="F15" s="431"/>
      <c r="G15" s="431"/>
      <c r="H15" s="431"/>
      <c r="I15" s="432">
        <f t="shared" si="0"/>
        <v>4397</v>
      </c>
      <c r="J15" s="430">
        <v>3880</v>
      </c>
      <c r="K15" s="431">
        <v>517</v>
      </c>
      <c r="L15" s="431"/>
      <c r="M15" s="431"/>
      <c r="N15" s="431"/>
      <c r="O15" s="431"/>
      <c r="P15" s="431"/>
      <c r="Q15" s="433">
        <f t="shared" si="1"/>
        <v>4397</v>
      </c>
    </row>
    <row r="16" spans="1:17" s="66" customFormat="1" ht="35.1" customHeight="1" x14ac:dyDescent="0.25">
      <c r="A16" s="428" t="s">
        <v>222</v>
      </c>
      <c r="B16" s="429" t="s">
        <v>85</v>
      </c>
      <c r="C16" s="430"/>
      <c r="D16" s="431"/>
      <c r="E16" s="431">
        <v>3500</v>
      </c>
      <c r="F16" s="431"/>
      <c r="G16" s="431"/>
      <c r="H16" s="431"/>
      <c r="I16" s="432">
        <f t="shared" si="0"/>
        <v>3500</v>
      </c>
      <c r="J16" s="430"/>
      <c r="K16" s="431"/>
      <c r="L16" s="431">
        <f>3500-250-29</f>
        <v>3221</v>
      </c>
      <c r="M16" s="431"/>
      <c r="N16" s="431"/>
      <c r="O16" s="431"/>
      <c r="P16" s="431"/>
      <c r="Q16" s="433">
        <f t="shared" si="1"/>
        <v>3221</v>
      </c>
    </row>
    <row r="17" spans="1:17" s="66" customFormat="1" ht="35.1" customHeight="1" x14ac:dyDescent="0.25">
      <c r="A17" s="428" t="s">
        <v>223</v>
      </c>
      <c r="B17" s="429" t="s">
        <v>443</v>
      </c>
      <c r="C17" s="430"/>
      <c r="D17" s="431"/>
      <c r="E17" s="431">
        <f>3385*1.1+1800</f>
        <v>5523.5</v>
      </c>
      <c r="F17" s="431"/>
      <c r="G17" s="431"/>
      <c r="H17" s="431"/>
      <c r="I17" s="432">
        <f t="shared" si="0"/>
        <v>5523.5</v>
      </c>
      <c r="J17" s="430"/>
      <c r="K17" s="431">
        <v>523</v>
      </c>
      <c r="L17" s="431">
        <f>3385*1.1+1800+1637+165</f>
        <v>7325.5</v>
      </c>
      <c r="M17" s="431"/>
      <c r="N17" s="431"/>
      <c r="O17" s="431"/>
      <c r="P17" s="431"/>
      <c r="Q17" s="433">
        <f t="shared" si="1"/>
        <v>7848.5</v>
      </c>
    </row>
    <row r="18" spans="1:17" s="66" customFormat="1" ht="35.1" customHeight="1" x14ac:dyDescent="0.25">
      <c r="A18" s="428" t="s">
        <v>224</v>
      </c>
      <c r="B18" s="429" t="s">
        <v>295</v>
      </c>
      <c r="C18" s="430">
        <v>300</v>
      </c>
      <c r="D18" s="431">
        <v>36</v>
      </c>
      <c r="E18" s="431"/>
      <c r="F18" s="431"/>
      <c r="G18" s="431"/>
      <c r="H18" s="431"/>
      <c r="I18" s="432">
        <f t="shared" si="0"/>
        <v>336</v>
      </c>
      <c r="J18" s="430">
        <v>300</v>
      </c>
      <c r="K18" s="431">
        <v>36</v>
      </c>
      <c r="L18" s="431"/>
      <c r="M18" s="431"/>
      <c r="N18" s="431"/>
      <c r="O18" s="431"/>
      <c r="P18" s="431"/>
      <c r="Q18" s="433">
        <f t="shared" si="1"/>
        <v>336</v>
      </c>
    </row>
    <row r="19" spans="1:17" s="66" customFormat="1" ht="35.1" customHeight="1" x14ac:dyDescent="0.25">
      <c r="A19" s="428" t="s">
        <v>225</v>
      </c>
      <c r="B19" s="429" t="s">
        <v>28</v>
      </c>
      <c r="C19" s="430"/>
      <c r="D19" s="431"/>
      <c r="E19" s="431">
        <v>3000</v>
      </c>
      <c r="F19" s="431"/>
      <c r="G19" s="431"/>
      <c r="H19" s="431"/>
      <c r="I19" s="432">
        <f t="shared" si="0"/>
        <v>3000</v>
      </c>
      <c r="J19" s="430"/>
      <c r="K19" s="431"/>
      <c r="L19" s="431">
        <v>3000</v>
      </c>
      <c r="M19" s="431"/>
      <c r="N19" s="431"/>
      <c r="O19" s="431"/>
      <c r="P19" s="431"/>
      <c r="Q19" s="433">
        <f t="shared" si="1"/>
        <v>3000</v>
      </c>
    </row>
    <row r="20" spans="1:17" s="66" customFormat="1" ht="35.1" customHeight="1" x14ac:dyDescent="0.25">
      <c r="A20" s="428" t="s">
        <v>226</v>
      </c>
      <c r="B20" s="429" t="s">
        <v>449</v>
      </c>
      <c r="C20" s="430"/>
      <c r="D20" s="431"/>
      <c r="E20" s="431">
        <v>2000</v>
      </c>
      <c r="F20" s="431"/>
      <c r="G20" s="431"/>
      <c r="H20" s="431"/>
      <c r="I20" s="432">
        <f t="shared" si="0"/>
        <v>2000</v>
      </c>
      <c r="J20" s="430"/>
      <c r="K20" s="431"/>
      <c r="L20" s="431">
        <v>2000</v>
      </c>
      <c r="M20" s="431"/>
      <c r="N20" s="431"/>
      <c r="O20" s="431"/>
      <c r="P20" s="431"/>
      <c r="Q20" s="433">
        <f t="shared" si="1"/>
        <v>2000</v>
      </c>
    </row>
    <row r="21" spans="1:17" s="66" customFormat="1" ht="35.1" customHeight="1" x14ac:dyDescent="0.25">
      <c r="A21" s="428" t="s">
        <v>227</v>
      </c>
      <c r="B21" s="434" t="s">
        <v>310</v>
      </c>
      <c r="C21" s="430"/>
      <c r="D21" s="431"/>
      <c r="E21" s="431">
        <v>10000</v>
      </c>
      <c r="F21" s="431"/>
      <c r="G21" s="431"/>
      <c r="H21" s="431"/>
      <c r="I21" s="432">
        <f t="shared" si="0"/>
        <v>10000</v>
      </c>
      <c r="J21" s="430"/>
      <c r="K21" s="431"/>
      <c r="L21" s="431">
        <f>10000+3175</f>
        <v>13175</v>
      </c>
      <c r="M21" s="431"/>
      <c r="N21" s="431"/>
      <c r="O21" s="431"/>
      <c r="P21" s="431"/>
      <c r="Q21" s="433">
        <f t="shared" si="1"/>
        <v>13175</v>
      </c>
    </row>
    <row r="22" spans="1:17" s="66" customFormat="1" ht="35.1" customHeight="1" x14ac:dyDescent="0.25">
      <c r="A22" s="428" t="s">
        <v>228</v>
      </c>
      <c r="B22" s="444" t="s">
        <v>366</v>
      </c>
      <c r="C22" s="430"/>
      <c r="D22" s="431"/>
      <c r="E22" s="431">
        <v>400</v>
      </c>
      <c r="F22" s="431"/>
      <c r="G22" s="431"/>
      <c r="H22" s="431"/>
      <c r="I22" s="432">
        <f t="shared" si="0"/>
        <v>400</v>
      </c>
      <c r="J22" s="430"/>
      <c r="K22" s="431"/>
      <c r="L22" s="431">
        <v>400</v>
      </c>
      <c r="M22" s="431"/>
      <c r="N22" s="431"/>
      <c r="O22" s="431"/>
      <c r="P22" s="431"/>
      <c r="Q22" s="433">
        <f t="shared" si="1"/>
        <v>400</v>
      </c>
    </row>
    <row r="23" spans="1:17" s="66" customFormat="1" ht="35.1" customHeight="1" x14ac:dyDescent="0.25">
      <c r="A23" s="428" t="s">
        <v>229</v>
      </c>
      <c r="B23" s="429" t="s">
        <v>367</v>
      </c>
      <c r="C23" s="430"/>
      <c r="D23" s="431"/>
      <c r="E23" s="431">
        <v>13000</v>
      </c>
      <c r="F23" s="431"/>
      <c r="G23" s="431"/>
      <c r="H23" s="431"/>
      <c r="I23" s="432">
        <f t="shared" si="0"/>
        <v>13000</v>
      </c>
      <c r="J23" s="430"/>
      <c r="K23" s="431"/>
      <c r="L23" s="431">
        <v>13000</v>
      </c>
      <c r="M23" s="431"/>
      <c r="N23" s="431"/>
      <c r="O23" s="431"/>
      <c r="P23" s="431"/>
      <c r="Q23" s="433">
        <f t="shared" si="1"/>
        <v>13000</v>
      </c>
    </row>
    <row r="24" spans="1:17" s="66" customFormat="1" ht="35.1" customHeight="1" x14ac:dyDescent="0.25">
      <c r="A24" s="428" t="s">
        <v>230</v>
      </c>
      <c r="B24" s="429" t="s">
        <v>140</v>
      </c>
      <c r="C24" s="430"/>
      <c r="D24" s="431"/>
      <c r="E24" s="431">
        <v>5000</v>
      </c>
      <c r="F24" s="431"/>
      <c r="G24" s="431"/>
      <c r="H24" s="431"/>
      <c r="I24" s="432">
        <f t="shared" si="0"/>
        <v>5000</v>
      </c>
      <c r="J24" s="430"/>
      <c r="K24" s="431"/>
      <c r="L24" s="431">
        <v>5000</v>
      </c>
      <c r="M24" s="431"/>
      <c r="N24" s="431"/>
      <c r="O24" s="431"/>
      <c r="P24" s="431"/>
      <c r="Q24" s="433">
        <f t="shared" si="1"/>
        <v>5000</v>
      </c>
    </row>
    <row r="25" spans="1:17" s="66" customFormat="1" ht="35.1" customHeight="1" x14ac:dyDescent="0.25">
      <c r="A25" s="428" t="s">
        <v>236</v>
      </c>
      <c r="B25" s="429" t="s">
        <v>285</v>
      </c>
      <c r="C25" s="430"/>
      <c r="D25" s="431"/>
      <c r="E25" s="431">
        <v>1840</v>
      </c>
      <c r="F25" s="431"/>
      <c r="G25" s="431"/>
      <c r="H25" s="431"/>
      <c r="I25" s="432">
        <f t="shared" si="0"/>
        <v>1840</v>
      </c>
      <c r="J25" s="430"/>
      <c r="K25" s="431"/>
      <c r="L25" s="431">
        <v>1840</v>
      </c>
      <c r="M25" s="431"/>
      <c r="N25" s="431"/>
      <c r="O25" s="431"/>
      <c r="P25" s="431"/>
      <c r="Q25" s="433">
        <f t="shared" si="1"/>
        <v>1840</v>
      </c>
    </row>
    <row r="26" spans="1:17" s="66" customFormat="1" ht="35.1" customHeight="1" x14ac:dyDescent="0.25">
      <c r="A26" s="428" t="s">
        <v>237</v>
      </c>
      <c r="B26" s="429" t="s">
        <v>293</v>
      </c>
      <c r="C26" s="430">
        <v>1034</v>
      </c>
      <c r="D26" s="431">
        <v>158</v>
      </c>
      <c r="E26" s="431">
        <f>953</f>
        <v>953</v>
      </c>
      <c r="F26" s="431"/>
      <c r="G26" s="431"/>
      <c r="H26" s="431"/>
      <c r="I26" s="432">
        <f t="shared" si="0"/>
        <v>2145</v>
      </c>
      <c r="J26" s="430">
        <v>1034</v>
      </c>
      <c r="K26" s="431">
        <v>158</v>
      </c>
      <c r="L26" s="431">
        <f>953+480</f>
        <v>1433</v>
      </c>
      <c r="M26" s="431"/>
      <c r="N26" s="431"/>
      <c r="O26" s="431"/>
      <c r="P26" s="431"/>
      <c r="Q26" s="433">
        <f t="shared" si="1"/>
        <v>2625</v>
      </c>
    </row>
    <row r="27" spans="1:17" s="66" customFormat="1" ht="35.1" customHeight="1" x14ac:dyDescent="0.25">
      <c r="A27" s="435" t="s">
        <v>238</v>
      </c>
      <c r="B27" s="429" t="s">
        <v>296</v>
      </c>
      <c r="C27" s="430"/>
      <c r="D27" s="431"/>
      <c r="E27" s="431">
        <v>600</v>
      </c>
      <c r="F27" s="431"/>
      <c r="G27" s="431"/>
      <c r="H27" s="431"/>
      <c r="I27" s="432">
        <f t="shared" si="0"/>
        <v>600</v>
      </c>
      <c r="J27" s="430"/>
      <c r="K27" s="431"/>
      <c r="L27" s="431">
        <f>600</f>
        <v>600</v>
      </c>
      <c r="M27" s="431"/>
      <c r="N27" s="431"/>
      <c r="O27" s="431"/>
      <c r="P27" s="431"/>
      <c r="Q27" s="433">
        <f>SUM(J27:P27)</f>
        <v>600</v>
      </c>
    </row>
    <row r="28" spans="1:17" s="66" customFormat="1" ht="35.1" customHeight="1" x14ac:dyDescent="0.25">
      <c r="A28" s="435" t="s">
        <v>239</v>
      </c>
      <c r="B28" s="429" t="s">
        <v>365</v>
      </c>
      <c r="C28" s="430">
        <v>14159</v>
      </c>
      <c r="D28" s="431">
        <v>1864</v>
      </c>
      <c r="E28" s="431">
        <v>1000</v>
      </c>
      <c r="F28" s="431"/>
      <c r="G28" s="431"/>
      <c r="H28" s="431"/>
      <c r="I28" s="432">
        <f t="shared" si="0"/>
        <v>17023</v>
      </c>
      <c r="J28" s="430">
        <f>14159-9323</f>
        <v>4836</v>
      </c>
      <c r="K28" s="431">
        <f>1864-1166</f>
        <v>698</v>
      </c>
      <c r="L28" s="431">
        <f>1000-871</f>
        <v>129</v>
      </c>
      <c r="M28" s="431"/>
      <c r="N28" s="431"/>
      <c r="O28" s="431"/>
      <c r="P28" s="431"/>
      <c r="Q28" s="433">
        <f t="shared" ref="Q28:Q30" si="2">SUM(J28:P28)</f>
        <v>5663</v>
      </c>
    </row>
    <row r="29" spans="1:17" s="66" customFormat="1" ht="35.1" customHeight="1" x14ac:dyDescent="0.25">
      <c r="A29" s="435" t="s">
        <v>240</v>
      </c>
      <c r="B29" s="429" t="s">
        <v>434</v>
      </c>
      <c r="C29" s="430">
        <v>6390</v>
      </c>
      <c r="D29" s="431">
        <v>843</v>
      </c>
      <c r="E29" s="431">
        <v>500</v>
      </c>
      <c r="F29" s="431"/>
      <c r="G29" s="431"/>
      <c r="H29" s="431"/>
      <c r="I29" s="432">
        <f t="shared" si="0"/>
        <v>7733</v>
      </c>
      <c r="J29" s="430">
        <v>6390</v>
      </c>
      <c r="K29" s="431">
        <v>843</v>
      </c>
      <c r="L29" s="431">
        <v>500</v>
      </c>
      <c r="M29" s="431"/>
      <c r="N29" s="431"/>
      <c r="O29" s="431"/>
      <c r="P29" s="431"/>
      <c r="Q29" s="433">
        <f t="shared" si="2"/>
        <v>7733</v>
      </c>
    </row>
    <row r="30" spans="1:17" s="66" customFormat="1" ht="35.1" customHeight="1" x14ac:dyDescent="0.25">
      <c r="A30" s="435"/>
      <c r="B30" s="429"/>
      <c r="C30" s="430"/>
      <c r="D30" s="431"/>
      <c r="E30" s="431"/>
      <c r="F30" s="431"/>
      <c r="G30" s="431"/>
      <c r="H30" s="431"/>
      <c r="I30" s="432">
        <f t="shared" ref="I30" si="3">SUM(C30:H30)</f>
        <v>0</v>
      </c>
      <c r="J30" s="430"/>
      <c r="K30" s="431"/>
      <c r="L30" s="431"/>
      <c r="M30" s="431"/>
      <c r="N30" s="431"/>
      <c r="O30" s="431"/>
      <c r="P30" s="431"/>
      <c r="Q30" s="433">
        <f t="shared" si="2"/>
        <v>0</v>
      </c>
    </row>
    <row r="31" spans="1:17" s="66" customFormat="1" ht="35.1" customHeight="1" thickBot="1" x14ac:dyDescent="0.3">
      <c r="A31" s="435"/>
      <c r="B31" s="429"/>
      <c r="C31" s="430"/>
      <c r="D31" s="431"/>
      <c r="E31" s="431"/>
      <c r="F31" s="431"/>
      <c r="G31" s="431"/>
      <c r="H31" s="431"/>
      <c r="I31" s="432"/>
      <c r="J31" s="430"/>
      <c r="K31" s="431"/>
      <c r="L31" s="431"/>
      <c r="M31" s="431"/>
      <c r="N31" s="431"/>
      <c r="O31" s="431"/>
      <c r="P31" s="431"/>
      <c r="Q31" s="433"/>
    </row>
    <row r="32" spans="1:17" s="66" customFormat="1" ht="35.1" customHeight="1" thickBot="1" x14ac:dyDescent="0.3">
      <c r="A32" s="421"/>
      <c r="B32" s="436" t="s">
        <v>132</v>
      </c>
      <c r="C32" s="437">
        <f t="shared" ref="C32:H32" si="4">SUM(C3:C31)</f>
        <v>254202</v>
      </c>
      <c r="D32" s="437">
        <f t="shared" si="4"/>
        <v>29275</v>
      </c>
      <c r="E32" s="437">
        <f t="shared" si="4"/>
        <v>142127.5</v>
      </c>
      <c r="F32" s="437">
        <f t="shared" si="4"/>
        <v>200</v>
      </c>
      <c r="G32" s="437">
        <f t="shared" si="4"/>
        <v>0</v>
      </c>
      <c r="H32" s="437">
        <f t="shared" si="4"/>
        <v>1000</v>
      </c>
      <c r="I32" s="438">
        <f t="shared" ref="I32" si="5">SUM(C32:H32)</f>
        <v>426804.5</v>
      </c>
      <c r="J32" s="437">
        <f t="shared" ref="J32:P32" si="6">SUM(J3:J31)</f>
        <v>251928</v>
      </c>
      <c r="K32" s="437">
        <f t="shared" si="6"/>
        <v>29250</v>
      </c>
      <c r="L32" s="437">
        <f t="shared" si="6"/>
        <v>148396.5</v>
      </c>
      <c r="M32" s="437">
        <f t="shared" si="6"/>
        <v>200</v>
      </c>
      <c r="N32" s="437">
        <f t="shared" si="6"/>
        <v>0</v>
      </c>
      <c r="O32" s="437">
        <f t="shared" si="6"/>
        <v>1147</v>
      </c>
      <c r="P32" s="437">
        <f t="shared" si="6"/>
        <v>0</v>
      </c>
      <c r="Q32" s="439">
        <f>SUM(J32:P32)</f>
        <v>430921.5</v>
      </c>
    </row>
    <row r="33" ht="13.5" thickTop="1" x14ac:dyDescent="0.2"/>
  </sheetData>
  <mergeCells count="2">
    <mergeCell ref="C1:I1"/>
    <mergeCell ref="J1:Q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&amp;C&amp;"Times New Roman,Félkövér"&amp;16Önkormányzati feladatok&amp;12
&amp;"Times New Roman,Normál"/ezer Ft/&amp;R&amp;"Times New Roman,Normál"&amp;12 8/b. sz.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N57"/>
  <sheetViews>
    <sheetView zoomScale="40" zoomScaleNormal="40" workbookViewId="0">
      <pane xSplit="2" ySplit="2" topLeftCell="C3" activePane="bottomRight" state="frozen"/>
      <selection activeCell="O17" sqref="O17"/>
      <selection pane="topRight" activeCell="O17" sqref="O17"/>
      <selection pane="bottomLeft" activeCell="O17" sqref="O17"/>
      <selection pane="bottomRight" sqref="A1:N56"/>
    </sheetView>
  </sheetViews>
  <sheetFormatPr defaultRowHeight="12.75" x14ac:dyDescent="0.2"/>
  <cols>
    <col min="1" max="1" width="7.7109375" style="55" customWidth="1"/>
    <col min="2" max="2" width="44.140625" customWidth="1"/>
    <col min="3" max="4" width="6.7109375" customWidth="1"/>
    <col min="5" max="5" width="7.7109375" customWidth="1"/>
    <col min="6" max="7" width="6.7109375" customWidth="1"/>
    <col min="8" max="8" width="9.42578125" customWidth="1"/>
    <col min="9" max="10" width="6.7109375" customWidth="1"/>
    <col min="11" max="11" width="7.7109375" customWidth="1"/>
    <col min="12" max="13" width="6.7109375" customWidth="1"/>
    <col min="14" max="14" width="9.42578125" customWidth="1"/>
  </cols>
  <sheetData>
    <row r="1" spans="1:14" ht="19.5" thickTop="1" x14ac:dyDescent="0.2">
      <c r="A1" s="620" t="s">
        <v>181</v>
      </c>
      <c r="B1" s="453"/>
      <c r="C1" s="614" t="s">
        <v>523</v>
      </c>
      <c r="D1" s="621"/>
      <c r="E1" s="621"/>
      <c r="F1" s="621"/>
      <c r="G1" s="621"/>
      <c r="H1" s="622"/>
      <c r="I1" s="614" t="s">
        <v>524</v>
      </c>
      <c r="J1" s="621"/>
      <c r="K1" s="621"/>
      <c r="L1" s="621"/>
      <c r="M1" s="621"/>
      <c r="N1" s="609"/>
    </row>
    <row r="2" spans="1:14" ht="89.25" customHeight="1" thickBot="1" x14ac:dyDescent="0.25">
      <c r="A2" s="611"/>
      <c r="B2" s="445" t="s">
        <v>56</v>
      </c>
      <c r="C2" s="454" t="s">
        <v>67</v>
      </c>
      <c r="D2" s="454" t="s">
        <v>69</v>
      </c>
      <c r="E2" s="454" t="s">
        <v>70</v>
      </c>
      <c r="F2" s="454" t="s">
        <v>71</v>
      </c>
      <c r="G2" s="454" t="s">
        <v>72</v>
      </c>
      <c r="H2" s="455" t="s">
        <v>53</v>
      </c>
      <c r="I2" s="454" t="s">
        <v>67</v>
      </c>
      <c r="J2" s="454" t="s">
        <v>69</v>
      </c>
      <c r="K2" s="454" t="s">
        <v>70</v>
      </c>
      <c r="L2" s="454" t="s">
        <v>71</v>
      </c>
      <c r="M2" s="454" t="s">
        <v>79</v>
      </c>
      <c r="N2" s="456" t="s">
        <v>53</v>
      </c>
    </row>
    <row r="3" spans="1:14" ht="23.1" customHeight="1" x14ac:dyDescent="0.2">
      <c r="A3" s="226" t="s">
        <v>320</v>
      </c>
      <c r="B3" s="446" t="s">
        <v>158</v>
      </c>
      <c r="C3" s="457"/>
      <c r="D3" s="457"/>
      <c r="E3" s="458">
        <v>1000</v>
      </c>
      <c r="F3" s="458"/>
      <c r="G3" s="457"/>
      <c r="H3" s="388">
        <f t="shared" ref="H3:H53" si="0">SUM(C3:G3)</f>
        <v>1000</v>
      </c>
      <c r="I3" s="457"/>
      <c r="J3" s="457"/>
      <c r="K3" s="458">
        <f>1000+113+254-100</f>
        <v>1267</v>
      </c>
      <c r="L3" s="458"/>
      <c r="M3" s="457">
        <v>100</v>
      </c>
      <c r="N3" s="447">
        <f t="shared" ref="N3:N53" si="1">SUM(I3:M3)</f>
        <v>1367</v>
      </c>
    </row>
    <row r="4" spans="1:14" ht="23.1" customHeight="1" x14ac:dyDescent="0.2">
      <c r="A4" s="340" t="s">
        <v>321</v>
      </c>
      <c r="B4" s="446" t="s">
        <v>111</v>
      </c>
      <c r="C4" s="457"/>
      <c r="D4" s="457"/>
      <c r="E4" s="458">
        <v>30000</v>
      </c>
      <c r="F4" s="458"/>
      <c r="G4" s="457"/>
      <c r="H4" s="388">
        <f t="shared" si="0"/>
        <v>30000</v>
      </c>
      <c r="I4" s="457"/>
      <c r="J4" s="457"/>
      <c r="K4" s="458">
        <f>30000</f>
        <v>30000</v>
      </c>
      <c r="L4" s="458"/>
      <c r="M4" s="457"/>
      <c r="N4" s="447">
        <f t="shared" si="1"/>
        <v>30000</v>
      </c>
    </row>
    <row r="5" spans="1:14" ht="23.1" customHeight="1" x14ac:dyDescent="0.2">
      <c r="A5" s="340" t="s">
        <v>322</v>
      </c>
      <c r="B5" s="446" t="s">
        <v>112</v>
      </c>
      <c r="C5" s="457"/>
      <c r="D5" s="457"/>
      <c r="E5" s="458">
        <v>60000</v>
      </c>
      <c r="F5" s="458"/>
      <c r="G5" s="457"/>
      <c r="H5" s="388">
        <f t="shared" si="0"/>
        <v>60000</v>
      </c>
      <c r="I5" s="457"/>
      <c r="J5" s="457"/>
      <c r="K5" s="458">
        <v>60000</v>
      </c>
      <c r="L5" s="458"/>
      <c r="M5" s="457"/>
      <c r="N5" s="447">
        <f t="shared" si="1"/>
        <v>60000</v>
      </c>
    </row>
    <row r="6" spans="1:14" ht="23.1" customHeight="1" x14ac:dyDescent="0.2">
      <c r="A6" s="340" t="s">
        <v>323</v>
      </c>
      <c r="B6" s="446" t="s">
        <v>80</v>
      </c>
      <c r="C6" s="457"/>
      <c r="D6" s="457"/>
      <c r="E6" s="458">
        <v>93000</v>
      </c>
      <c r="F6" s="458"/>
      <c r="G6" s="457"/>
      <c r="H6" s="388">
        <f t="shared" si="0"/>
        <v>93000</v>
      </c>
      <c r="I6" s="457"/>
      <c r="J6" s="457"/>
      <c r="K6" s="458">
        <v>93000</v>
      </c>
      <c r="L6" s="458"/>
      <c r="M6" s="457"/>
      <c r="N6" s="447">
        <f t="shared" si="1"/>
        <v>93000</v>
      </c>
    </row>
    <row r="7" spans="1:14" ht="23.1" customHeight="1" x14ac:dyDescent="0.2">
      <c r="A7" s="340" t="s">
        <v>324</v>
      </c>
      <c r="B7" s="446" t="s">
        <v>150</v>
      </c>
      <c r="C7" s="457"/>
      <c r="D7" s="457"/>
      <c r="E7" s="458">
        <v>121625</v>
      </c>
      <c r="F7" s="458"/>
      <c r="G7" s="457"/>
      <c r="H7" s="388">
        <f t="shared" si="0"/>
        <v>121625</v>
      </c>
      <c r="I7" s="457"/>
      <c r="J7" s="457"/>
      <c r="K7" s="458">
        <f>121625+5832</f>
        <v>127457</v>
      </c>
      <c r="L7" s="458"/>
      <c r="M7" s="457"/>
      <c r="N7" s="447">
        <f t="shared" si="1"/>
        <v>127457</v>
      </c>
    </row>
    <row r="8" spans="1:14" ht="23.1" customHeight="1" x14ac:dyDescent="0.2">
      <c r="A8" s="340" t="s">
        <v>325</v>
      </c>
      <c r="B8" s="446" t="s">
        <v>444</v>
      </c>
      <c r="C8" s="457"/>
      <c r="D8" s="457"/>
      <c r="E8" s="458">
        <v>28000</v>
      </c>
      <c r="F8" s="458"/>
      <c r="G8" s="457"/>
      <c r="H8" s="388">
        <f t="shared" si="0"/>
        <v>28000</v>
      </c>
      <c r="I8" s="457"/>
      <c r="J8" s="457"/>
      <c r="K8" s="458">
        <f>28000+192+4971</f>
        <v>33163</v>
      </c>
      <c r="L8" s="458"/>
      <c r="M8" s="457"/>
      <c r="N8" s="447">
        <f t="shared" si="1"/>
        <v>33163</v>
      </c>
    </row>
    <row r="9" spans="1:14" ht="23.1" customHeight="1" x14ac:dyDescent="0.2">
      <c r="A9" s="340" t="s">
        <v>326</v>
      </c>
      <c r="B9" s="446" t="s">
        <v>31</v>
      </c>
      <c r="C9" s="457"/>
      <c r="D9" s="457"/>
      <c r="E9" s="458">
        <v>7000</v>
      </c>
      <c r="F9" s="458"/>
      <c r="G9" s="457"/>
      <c r="H9" s="388">
        <f t="shared" si="0"/>
        <v>7000</v>
      </c>
      <c r="I9" s="457"/>
      <c r="J9" s="457"/>
      <c r="K9" s="458">
        <v>7000</v>
      </c>
      <c r="L9" s="458"/>
      <c r="M9" s="457"/>
      <c r="N9" s="447">
        <f t="shared" si="1"/>
        <v>7000</v>
      </c>
    </row>
    <row r="10" spans="1:14" ht="23.1" customHeight="1" x14ac:dyDescent="0.2">
      <c r="A10" s="340" t="s">
        <v>327</v>
      </c>
      <c r="B10" s="446" t="s">
        <v>159</v>
      </c>
      <c r="C10" s="457"/>
      <c r="D10" s="457"/>
      <c r="E10" s="458">
        <v>25000</v>
      </c>
      <c r="F10" s="458"/>
      <c r="G10" s="457"/>
      <c r="H10" s="388">
        <f t="shared" si="0"/>
        <v>25000</v>
      </c>
      <c r="I10" s="457"/>
      <c r="J10" s="457"/>
      <c r="K10" s="458">
        <v>25000</v>
      </c>
      <c r="L10" s="458"/>
      <c r="M10" s="457"/>
      <c r="N10" s="447">
        <f t="shared" si="1"/>
        <v>25000</v>
      </c>
    </row>
    <row r="11" spans="1:14" ht="23.1" customHeight="1" x14ac:dyDescent="0.2">
      <c r="A11" s="340" t="s">
        <v>328</v>
      </c>
      <c r="B11" s="446" t="s">
        <v>294</v>
      </c>
      <c r="C11" s="457"/>
      <c r="D11" s="457"/>
      <c r="E11" s="458">
        <v>40000</v>
      </c>
      <c r="F11" s="458"/>
      <c r="G11" s="457"/>
      <c r="H11" s="388">
        <f t="shared" si="0"/>
        <v>40000</v>
      </c>
      <c r="I11" s="457"/>
      <c r="J11" s="457"/>
      <c r="K11" s="458">
        <v>40000</v>
      </c>
      <c r="L11" s="458"/>
      <c r="M11" s="457"/>
      <c r="N11" s="447">
        <f t="shared" si="1"/>
        <v>40000</v>
      </c>
    </row>
    <row r="12" spans="1:14" ht="23.1" customHeight="1" x14ac:dyDescent="0.2">
      <c r="A12" s="340" t="s">
        <v>219</v>
      </c>
      <c r="B12" s="446" t="s">
        <v>184</v>
      </c>
      <c r="C12" s="457"/>
      <c r="D12" s="457"/>
      <c r="E12" s="458">
        <v>9000</v>
      </c>
      <c r="F12" s="458"/>
      <c r="G12" s="457"/>
      <c r="H12" s="388">
        <f t="shared" si="0"/>
        <v>9000</v>
      </c>
      <c r="I12" s="457"/>
      <c r="J12" s="457"/>
      <c r="K12" s="458">
        <v>9000</v>
      </c>
      <c r="L12" s="458"/>
      <c r="M12" s="457"/>
      <c r="N12" s="447">
        <f t="shared" si="1"/>
        <v>9000</v>
      </c>
    </row>
    <row r="13" spans="1:14" ht="23.1" customHeight="1" x14ac:dyDescent="0.2">
      <c r="A13" s="340" t="s">
        <v>220</v>
      </c>
      <c r="B13" s="448" t="s">
        <v>0</v>
      </c>
      <c r="C13" s="457"/>
      <c r="D13" s="457"/>
      <c r="E13" s="458">
        <v>20000</v>
      </c>
      <c r="F13" s="458"/>
      <c r="G13" s="457"/>
      <c r="H13" s="388">
        <f t="shared" si="0"/>
        <v>20000</v>
      </c>
      <c r="I13" s="457"/>
      <c r="J13" s="457"/>
      <c r="K13" s="458">
        <v>20000</v>
      </c>
      <c r="L13" s="458"/>
      <c r="M13" s="457"/>
      <c r="N13" s="447">
        <f t="shared" si="1"/>
        <v>20000</v>
      </c>
    </row>
    <row r="14" spans="1:14" ht="23.1" customHeight="1" x14ac:dyDescent="0.2">
      <c r="A14" s="340" t="s">
        <v>221</v>
      </c>
      <c r="B14" s="448" t="s">
        <v>375</v>
      </c>
      <c r="C14" s="457"/>
      <c r="D14" s="457"/>
      <c r="E14" s="458">
        <v>2500</v>
      </c>
      <c r="F14" s="458"/>
      <c r="G14" s="457"/>
      <c r="H14" s="388">
        <f t="shared" si="0"/>
        <v>2500</v>
      </c>
      <c r="I14" s="457"/>
      <c r="J14" s="457"/>
      <c r="K14" s="458">
        <v>2500</v>
      </c>
      <c r="L14" s="458"/>
      <c r="M14" s="457"/>
      <c r="N14" s="447">
        <f t="shared" si="1"/>
        <v>2500</v>
      </c>
    </row>
    <row r="15" spans="1:14" ht="23.1" customHeight="1" x14ac:dyDescent="0.2">
      <c r="A15" s="340" t="s">
        <v>222</v>
      </c>
      <c r="B15" s="448" t="s">
        <v>2</v>
      </c>
      <c r="C15" s="457"/>
      <c r="D15" s="457"/>
      <c r="E15" s="458">
        <v>8000</v>
      </c>
      <c r="F15" s="458"/>
      <c r="G15" s="457"/>
      <c r="H15" s="388">
        <f t="shared" si="0"/>
        <v>8000</v>
      </c>
      <c r="I15" s="457"/>
      <c r="J15" s="457"/>
      <c r="K15" s="458">
        <v>8000</v>
      </c>
      <c r="L15" s="458"/>
      <c r="M15" s="457"/>
      <c r="N15" s="447">
        <f t="shared" si="1"/>
        <v>8000</v>
      </c>
    </row>
    <row r="16" spans="1:14" ht="27" customHeight="1" x14ac:dyDescent="0.2">
      <c r="A16" s="340" t="s">
        <v>223</v>
      </c>
      <c r="B16" s="448" t="s">
        <v>376</v>
      </c>
      <c r="C16" s="457"/>
      <c r="D16" s="457"/>
      <c r="E16" s="458">
        <v>31000</v>
      </c>
      <c r="F16" s="458"/>
      <c r="G16" s="457"/>
      <c r="H16" s="388">
        <f t="shared" si="0"/>
        <v>31000</v>
      </c>
      <c r="I16" s="457"/>
      <c r="J16" s="457"/>
      <c r="K16" s="458">
        <f>31000+7994</f>
        <v>38994</v>
      </c>
      <c r="L16" s="458"/>
      <c r="M16" s="457"/>
      <c r="N16" s="447">
        <f t="shared" si="1"/>
        <v>38994</v>
      </c>
    </row>
    <row r="17" spans="1:14" ht="23.1" customHeight="1" x14ac:dyDescent="0.2">
      <c r="A17" s="340" t="s">
        <v>224</v>
      </c>
      <c r="B17" s="448" t="s">
        <v>185</v>
      </c>
      <c r="C17" s="457"/>
      <c r="D17" s="457"/>
      <c r="E17" s="458">
        <f>5000+8000</f>
        <v>13000</v>
      </c>
      <c r="F17" s="458"/>
      <c r="G17" s="457"/>
      <c r="H17" s="388">
        <f t="shared" si="0"/>
        <v>13000</v>
      </c>
      <c r="I17" s="457"/>
      <c r="J17" s="457"/>
      <c r="K17" s="458">
        <f>5000+8000+16+60+157+580+1404+5200+21+80+2921+2032</f>
        <v>25471</v>
      </c>
      <c r="L17" s="458"/>
      <c r="M17" s="457"/>
      <c r="N17" s="447">
        <f t="shared" si="1"/>
        <v>25471</v>
      </c>
    </row>
    <row r="18" spans="1:14" ht="23.1" customHeight="1" x14ac:dyDescent="0.2">
      <c r="A18" s="340" t="s">
        <v>225</v>
      </c>
      <c r="B18" s="448" t="s">
        <v>361</v>
      </c>
      <c r="C18" s="457">
        <f>210+210</f>
        <v>420</v>
      </c>
      <c r="D18" s="457">
        <f>18+18</f>
        <v>36</v>
      </c>
      <c r="E18" s="458">
        <v>2500</v>
      </c>
      <c r="F18" s="458"/>
      <c r="G18" s="457"/>
      <c r="H18" s="388">
        <f t="shared" si="0"/>
        <v>2956</v>
      </c>
      <c r="I18" s="457">
        <f>210+210+158+52</f>
        <v>630</v>
      </c>
      <c r="J18" s="457">
        <f>18+18+18</f>
        <v>54</v>
      </c>
      <c r="K18" s="458">
        <v>2500</v>
      </c>
      <c r="L18" s="458"/>
      <c r="M18" s="457"/>
      <c r="N18" s="447">
        <f t="shared" si="1"/>
        <v>3184</v>
      </c>
    </row>
    <row r="19" spans="1:14" ht="30" customHeight="1" x14ac:dyDescent="0.2">
      <c r="A19" s="340" t="s">
        <v>226</v>
      </c>
      <c r="B19" s="448" t="s">
        <v>445</v>
      </c>
      <c r="C19" s="457"/>
      <c r="D19" s="457"/>
      <c r="E19" s="458">
        <v>10000</v>
      </c>
      <c r="F19" s="458"/>
      <c r="G19" s="457"/>
      <c r="H19" s="388">
        <f t="shared" si="0"/>
        <v>10000</v>
      </c>
      <c r="I19" s="457"/>
      <c r="J19" s="457"/>
      <c r="K19" s="458">
        <f>10000+1325+558+293</f>
        <v>12176</v>
      </c>
      <c r="L19" s="458"/>
      <c r="M19" s="457"/>
      <c r="N19" s="447">
        <f t="shared" si="1"/>
        <v>12176</v>
      </c>
    </row>
    <row r="20" spans="1:14" ht="23.1" customHeight="1" x14ac:dyDescent="0.2">
      <c r="A20" s="340" t="s">
        <v>227</v>
      </c>
      <c r="B20" s="448" t="s">
        <v>24</v>
      </c>
      <c r="C20" s="457"/>
      <c r="D20" s="457"/>
      <c r="E20" s="458">
        <v>3500</v>
      </c>
      <c r="F20" s="458"/>
      <c r="G20" s="457"/>
      <c r="H20" s="388">
        <f t="shared" si="0"/>
        <v>3500</v>
      </c>
      <c r="I20" s="457"/>
      <c r="J20" s="457"/>
      <c r="K20" s="458">
        <v>3500</v>
      </c>
      <c r="L20" s="458"/>
      <c r="M20" s="457"/>
      <c r="N20" s="447">
        <f t="shared" si="1"/>
        <v>3500</v>
      </c>
    </row>
    <row r="21" spans="1:14" ht="23.1" customHeight="1" x14ac:dyDescent="0.2">
      <c r="A21" s="340" t="s">
        <v>228</v>
      </c>
      <c r="B21" s="448" t="s">
        <v>25</v>
      </c>
      <c r="C21" s="457"/>
      <c r="D21" s="457"/>
      <c r="E21" s="458">
        <v>2100</v>
      </c>
      <c r="F21" s="458"/>
      <c r="G21" s="457"/>
      <c r="H21" s="388">
        <f t="shared" si="0"/>
        <v>2100</v>
      </c>
      <c r="I21" s="457"/>
      <c r="J21" s="457"/>
      <c r="K21" s="458">
        <v>2100</v>
      </c>
      <c r="L21" s="458"/>
      <c r="M21" s="457"/>
      <c r="N21" s="447">
        <f t="shared" si="1"/>
        <v>2100</v>
      </c>
    </row>
    <row r="22" spans="1:14" ht="28.5" customHeight="1" x14ac:dyDescent="0.2">
      <c r="A22" s="340" t="s">
        <v>229</v>
      </c>
      <c r="B22" s="448" t="s">
        <v>446</v>
      </c>
      <c r="C22" s="457"/>
      <c r="D22" s="457"/>
      <c r="E22" s="458">
        <v>6500</v>
      </c>
      <c r="F22" s="458"/>
      <c r="G22" s="457"/>
      <c r="H22" s="388">
        <f t="shared" si="0"/>
        <v>6500</v>
      </c>
      <c r="I22" s="457"/>
      <c r="J22" s="457"/>
      <c r="K22" s="458">
        <f>6500+713</f>
        <v>7213</v>
      </c>
      <c r="L22" s="458"/>
      <c r="M22" s="457"/>
      <c r="N22" s="447">
        <f t="shared" si="1"/>
        <v>7213</v>
      </c>
    </row>
    <row r="23" spans="1:14" ht="23.1" customHeight="1" x14ac:dyDescent="0.2">
      <c r="A23" s="340" t="s">
        <v>230</v>
      </c>
      <c r="B23" s="448" t="s">
        <v>448</v>
      </c>
      <c r="C23" s="457"/>
      <c r="D23" s="457"/>
      <c r="E23" s="458">
        <v>5500</v>
      </c>
      <c r="F23" s="458"/>
      <c r="G23" s="457"/>
      <c r="H23" s="388">
        <f t="shared" si="0"/>
        <v>5500</v>
      </c>
      <c r="I23" s="457"/>
      <c r="J23" s="457"/>
      <c r="K23" s="458">
        <f>5500-2000</f>
        <v>3500</v>
      </c>
      <c r="L23" s="458"/>
      <c r="M23" s="457"/>
      <c r="N23" s="447">
        <f t="shared" si="1"/>
        <v>3500</v>
      </c>
    </row>
    <row r="24" spans="1:14" ht="23.1" customHeight="1" x14ac:dyDescent="0.2">
      <c r="A24" s="340" t="s">
        <v>236</v>
      </c>
      <c r="B24" s="448" t="s">
        <v>161</v>
      </c>
      <c r="C24" s="457"/>
      <c r="D24" s="457"/>
      <c r="E24" s="458">
        <v>1270</v>
      </c>
      <c r="F24" s="458"/>
      <c r="G24" s="457"/>
      <c r="H24" s="388">
        <f t="shared" si="0"/>
        <v>1270</v>
      </c>
      <c r="I24" s="457"/>
      <c r="J24" s="457"/>
      <c r="K24" s="458">
        <v>1270</v>
      </c>
      <c r="L24" s="458"/>
      <c r="M24" s="457"/>
      <c r="N24" s="447">
        <f t="shared" si="1"/>
        <v>1270</v>
      </c>
    </row>
    <row r="25" spans="1:14" ht="23.1" customHeight="1" x14ac:dyDescent="0.2">
      <c r="A25" s="340" t="s">
        <v>237</v>
      </c>
      <c r="B25" s="448" t="s">
        <v>280</v>
      </c>
      <c r="C25" s="457"/>
      <c r="D25" s="457"/>
      <c r="E25" s="458">
        <v>4500</v>
      </c>
      <c r="F25" s="458"/>
      <c r="G25" s="457"/>
      <c r="H25" s="388">
        <f t="shared" si="0"/>
        <v>4500</v>
      </c>
      <c r="I25" s="457"/>
      <c r="J25" s="457"/>
      <c r="K25" s="458">
        <v>4500</v>
      </c>
      <c r="L25" s="458"/>
      <c r="M25" s="457"/>
      <c r="N25" s="447">
        <f t="shared" si="1"/>
        <v>4500</v>
      </c>
    </row>
    <row r="26" spans="1:14" ht="22.5" customHeight="1" x14ac:dyDescent="0.2">
      <c r="A26" s="340" t="s">
        <v>238</v>
      </c>
      <c r="B26" s="449" t="s">
        <v>281</v>
      </c>
      <c r="C26" s="459"/>
      <c r="D26" s="457"/>
      <c r="E26" s="458">
        <v>1000</v>
      </c>
      <c r="F26" s="458"/>
      <c r="G26" s="457"/>
      <c r="H26" s="388">
        <f t="shared" si="0"/>
        <v>1000</v>
      </c>
      <c r="I26" s="457"/>
      <c r="J26" s="457"/>
      <c r="K26" s="458">
        <f>1000-650</f>
        <v>350</v>
      </c>
      <c r="L26" s="458"/>
      <c r="M26" s="457"/>
      <c r="N26" s="447">
        <f t="shared" si="1"/>
        <v>350</v>
      </c>
    </row>
    <row r="27" spans="1:14" ht="23.1" customHeight="1" x14ac:dyDescent="0.2">
      <c r="A27" s="340" t="s">
        <v>239</v>
      </c>
      <c r="B27" s="449" t="s">
        <v>151</v>
      </c>
      <c r="C27" s="459"/>
      <c r="D27" s="457"/>
      <c r="E27" s="458">
        <v>2000</v>
      </c>
      <c r="F27" s="458"/>
      <c r="G27" s="457"/>
      <c r="H27" s="388">
        <f t="shared" si="0"/>
        <v>2000</v>
      </c>
      <c r="I27" s="457"/>
      <c r="J27" s="457"/>
      <c r="K27" s="458">
        <v>2000</v>
      </c>
      <c r="L27" s="458"/>
      <c r="M27" s="457"/>
      <c r="N27" s="447">
        <f t="shared" si="1"/>
        <v>2000</v>
      </c>
    </row>
    <row r="28" spans="1:14" ht="23.1" customHeight="1" x14ac:dyDescent="0.2">
      <c r="A28" s="340" t="s">
        <v>240</v>
      </c>
      <c r="B28" s="449" t="s">
        <v>186</v>
      </c>
      <c r="C28" s="459"/>
      <c r="D28" s="457"/>
      <c r="E28" s="458">
        <v>20200</v>
      </c>
      <c r="F28" s="458"/>
      <c r="G28" s="457"/>
      <c r="H28" s="388">
        <f t="shared" si="0"/>
        <v>20200</v>
      </c>
      <c r="I28" s="457"/>
      <c r="J28" s="457"/>
      <c r="K28" s="458">
        <v>20200</v>
      </c>
      <c r="L28" s="458"/>
      <c r="M28" s="457"/>
      <c r="N28" s="447">
        <f t="shared" si="1"/>
        <v>20200</v>
      </c>
    </row>
    <row r="29" spans="1:14" ht="23.1" customHeight="1" x14ac:dyDescent="0.2">
      <c r="A29" s="340" t="s">
        <v>241</v>
      </c>
      <c r="B29" s="449" t="s">
        <v>152</v>
      </c>
      <c r="C29" s="459"/>
      <c r="D29" s="457"/>
      <c r="E29" s="458">
        <v>5500</v>
      </c>
      <c r="F29" s="458"/>
      <c r="G29" s="457"/>
      <c r="H29" s="388">
        <f t="shared" si="0"/>
        <v>5500</v>
      </c>
      <c r="I29" s="457"/>
      <c r="J29" s="457"/>
      <c r="K29" s="458">
        <f>5500+873+2000</f>
        <v>8373</v>
      </c>
      <c r="L29" s="458"/>
      <c r="M29" s="457"/>
      <c r="N29" s="447">
        <f t="shared" si="1"/>
        <v>8373</v>
      </c>
    </row>
    <row r="30" spans="1:14" ht="23.1" customHeight="1" x14ac:dyDescent="0.2">
      <c r="A30" s="340" t="s">
        <v>242</v>
      </c>
      <c r="B30" s="449" t="s">
        <v>155</v>
      </c>
      <c r="C30" s="459"/>
      <c r="D30" s="457"/>
      <c r="E30" s="458">
        <v>1500</v>
      </c>
      <c r="F30" s="458"/>
      <c r="G30" s="457"/>
      <c r="H30" s="388">
        <f t="shared" si="0"/>
        <v>1500</v>
      </c>
      <c r="I30" s="457"/>
      <c r="J30" s="457"/>
      <c r="K30" s="458">
        <v>1500</v>
      </c>
      <c r="L30" s="458"/>
      <c r="M30" s="457"/>
      <c r="N30" s="447">
        <f t="shared" si="1"/>
        <v>1500</v>
      </c>
    </row>
    <row r="31" spans="1:14" ht="23.1" customHeight="1" x14ac:dyDescent="0.2">
      <c r="A31" s="340" t="s">
        <v>243</v>
      </c>
      <c r="B31" s="448" t="s">
        <v>473</v>
      </c>
      <c r="C31" s="459"/>
      <c r="D31" s="457"/>
      <c r="E31" s="458">
        <v>7000</v>
      </c>
      <c r="F31" s="458"/>
      <c r="G31" s="457"/>
      <c r="H31" s="388">
        <f t="shared" si="0"/>
        <v>7000</v>
      </c>
      <c r="I31" s="457"/>
      <c r="J31" s="457"/>
      <c r="K31" s="458">
        <v>7000</v>
      </c>
      <c r="L31" s="458"/>
      <c r="M31" s="457"/>
      <c r="N31" s="447">
        <f t="shared" si="1"/>
        <v>7000</v>
      </c>
    </row>
    <row r="32" spans="1:14" ht="23.1" customHeight="1" x14ac:dyDescent="0.2">
      <c r="A32" s="340" t="s">
        <v>244</v>
      </c>
      <c r="B32" s="448" t="s">
        <v>168</v>
      </c>
      <c r="C32" s="459"/>
      <c r="D32" s="457"/>
      <c r="E32" s="458">
        <v>5000</v>
      </c>
      <c r="F32" s="458"/>
      <c r="G32" s="457"/>
      <c r="H32" s="388">
        <f t="shared" si="0"/>
        <v>5000</v>
      </c>
      <c r="I32" s="457"/>
      <c r="J32" s="457"/>
      <c r="K32" s="458">
        <f>5000+2946</f>
        <v>7946</v>
      </c>
      <c r="L32" s="458"/>
      <c r="M32" s="457"/>
      <c r="N32" s="447">
        <f t="shared" si="1"/>
        <v>7946</v>
      </c>
    </row>
    <row r="33" spans="1:14" ht="23.1" customHeight="1" x14ac:dyDescent="0.2">
      <c r="A33" s="340" t="s">
        <v>245</v>
      </c>
      <c r="B33" s="448" t="s">
        <v>271</v>
      </c>
      <c r="C33" s="459"/>
      <c r="D33" s="457"/>
      <c r="E33" s="458">
        <v>1000</v>
      </c>
      <c r="F33" s="458"/>
      <c r="G33" s="457"/>
      <c r="H33" s="388">
        <f t="shared" si="0"/>
        <v>1000</v>
      </c>
      <c r="I33" s="457"/>
      <c r="J33" s="457"/>
      <c r="K33" s="458">
        <f>1000+650</f>
        <v>1650</v>
      </c>
      <c r="L33" s="458"/>
      <c r="M33" s="457"/>
      <c r="N33" s="447">
        <f t="shared" si="1"/>
        <v>1650</v>
      </c>
    </row>
    <row r="34" spans="1:14" ht="23.1" customHeight="1" x14ac:dyDescent="0.2">
      <c r="A34" s="340" t="s">
        <v>246</v>
      </c>
      <c r="B34" s="448" t="s">
        <v>282</v>
      </c>
      <c r="C34" s="459"/>
      <c r="D34" s="457"/>
      <c r="E34" s="458">
        <v>5000</v>
      </c>
      <c r="F34" s="458"/>
      <c r="G34" s="457"/>
      <c r="H34" s="388">
        <f t="shared" si="0"/>
        <v>5000</v>
      </c>
      <c r="I34" s="457"/>
      <c r="J34" s="457"/>
      <c r="K34" s="458">
        <v>5000</v>
      </c>
      <c r="L34" s="458"/>
      <c r="M34" s="457"/>
      <c r="N34" s="447">
        <f t="shared" si="1"/>
        <v>5000</v>
      </c>
    </row>
    <row r="35" spans="1:14" ht="23.1" customHeight="1" x14ac:dyDescent="0.2">
      <c r="A35" s="340" t="s">
        <v>247</v>
      </c>
      <c r="B35" s="448" t="s">
        <v>614</v>
      </c>
      <c r="C35" s="459"/>
      <c r="D35" s="457"/>
      <c r="E35" s="458">
        <v>1000</v>
      </c>
      <c r="F35" s="458"/>
      <c r="G35" s="457"/>
      <c r="H35" s="388">
        <f t="shared" si="0"/>
        <v>1000</v>
      </c>
      <c r="I35" s="457"/>
      <c r="J35" s="457"/>
      <c r="K35" s="458">
        <f>1000+2000+7000</f>
        <v>10000</v>
      </c>
      <c r="L35" s="458"/>
      <c r="M35" s="457"/>
      <c r="N35" s="447">
        <f t="shared" si="1"/>
        <v>10000</v>
      </c>
    </row>
    <row r="36" spans="1:14" ht="23.1" customHeight="1" x14ac:dyDescent="0.2">
      <c r="A36" s="340" t="s">
        <v>248</v>
      </c>
      <c r="B36" s="448" t="s">
        <v>270</v>
      </c>
      <c r="C36" s="459"/>
      <c r="D36" s="457"/>
      <c r="E36" s="458">
        <v>2000</v>
      </c>
      <c r="F36" s="458"/>
      <c r="G36" s="457"/>
      <c r="H36" s="388">
        <f t="shared" si="0"/>
        <v>2000</v>
      </c>
      <c r="I36" s="457"/>
      <c r="J36" s="457"/>
      <c r="K36" s="458">
        <v>2000</v>
      </c>
      <c r="L36" s="458"/>
      <c r="M36" s="457"/>
      <c r="N36" s="447">
        <f t="shared" si="1"/>
        <v>2000</v>
      </c>
    </row>
    <row r="37" spans="1:14" ht="23.1" customHeight="1" x14ac:dyDescent="0.2">
      <c r="A37" s="340" t="s">
        <v>249</v>
      </c>
      <c r="B37" s="448" t="s">
        <v>113</v>
      </c>
      <c r="C37" s="459"/>
      <c r="D37" s="457"/>
      <c r="E37" s="458">
        <v>6000</v>
      </c>
      <c r="F37" s="458"/>
      <c r="G37" s="457"/>
      <c r="H37" s="388">
        <f t="shared" si="0"/>
        <v>6000</v>
      </c>
      <c r="I37" s="457"/>
      <c r="J37" s="457"/>
      <c r="K37" s="458">
        <f>6000-5000</f>
        <v>1000</v>
      </c>
      <c r="L37" s="458"/>
      <c r="M37" s="457"/>
      <c r="N37" s="447">
        <f t="shared" si="1"/>
        <v>1000</v>
      </c>
    </row>
    <row r="38" spans="1:14" ht="23.1" customHeight="1" x14ac:dyDescent="0.2">
      <c r="A38" s="340" t="s">
        <v>250</v>
      </c>
      <c r="B38" s="448" t="s">
        <v>292</v>
      </c>
      <c r="C38" s="459"/>
      <c r="D38" s="457"/>
      <c r="E38" s="458">
        <v>600</v>
      </c>
      <c r="F38" s="458"/>
      <c r="G38" s="457"/>
      <c r="H38" s="388">
        <f t="shared" si="0"/>
        <v>600</v>
      </c>
      <c r="I38" s="457"/>
      <c r="J38" s="457"/>
      <c r="K38" s="458">
        <v>600</v>
      </c>
      <c r="L38" s="458"/>
      <c r="M38" s="457"/>
      <c r="N38" s="447">
        <f t="shared" si="1"/>
        <v>600</v>
      </c>
    </row>
    <row r="39" spans="1:14" ht="23.1" customHeight="1" x14ac:dyDescent="0.2">
      <c r="A39" s="340" t="s">
        <v>251</v>
      </c>
      <c r="B39" s="448" t="s">
        <v>474</v>
      </c>
      <c r="C39" s="459"/>
      <c r="D39" s="457"/>
      <c r="E39" s="458">
        <v>23800</v>
      </c>
      <c r="F39" s="458"/>
      <c r="G39" s="457"/>
      <c r="H39" s="388">
        <f t="shared" si="0"/>
        <v>23800</v>
      </c>
      <c r="I39" s="457"/>
      <c r="J39" s="457"/>
      <c r="K39" s="458">
        <f>23800+4826-2740+2925+380</f>
        <v>29191</v>
      </c>
      <c r="L39" s="458"/>
      <c r="M39" s="457"/>
      <c r="N39" s="447">
        <f t="shared" si="1"/>
        <v>29191</v>
      </c>
    </row>
    <row r="40" spans="1:14" ht="23.1" customHeight="1" x14ac:dyDescent="0.2">
      <c r="A40" s="340" t="s">
        <v>252</v>
      </c>
      <c r="B40" s="448" t="s">
        <v>298</v>
      </c>
      <c r="C40" s="459"/>
      <c r="D40" s="457"/>
      <c r="E40" s="458">
        <v>5000</v>
      </c>
      <c r="F40" s="458"/>
      <c r="G40" s="457"/>
      <c r="H40" s="388">
        <f t="shared" si="0"/>
        <v>5000</v>
      </c>
      <c r="I40" s="457"/>
      <c r="J40" s="457"/>
      <c r="K40" s="458">
        <v>5000</v>
      </c>
      <c r="L40" s="458"/>
      <c r="M40" s="457"/>
      <c r="N40" s="447">
        <f t="shared" si="1"/>
        <v>5000</v>
      </c>
    </row>
    <row r="41" spans="1:14" ht="23.1" customHeight="1" x14ac:dyDescent="0.2">
      <c r="A41" s="340" t="s">
        <v>381</v>
      </c>
      <c r="B41" s="448" t="s">
        <v>302</v>
      </c>
      <c r="C41" s="459"/>
      <c r="D41" s="457"/>
      <c r="E41" s="458">
        <v>210</v>
      </c>
      <c r="F41" s="458"/>
      <c r="G41" s="457"/>
      <c r="H41" s="388">
        <f t="shared" si="0"/>
        <v>210</v>
      </c>
      <c r="I41" s="457"/>
      <c r="J41" s="457"/>
      <c r="K41" s="458">
        <f>210+370</f>
        <v>580</v>
      </c>
      <c r="L41" s="458"/>
      <c r="M41" s="457"/>
      <c r="N41" s="447">
        <f t="shared" si="1"/>
        <v>580</v>
      </c>
    </row>
    <row r="42" spans="1:14" ht="23.1" customHeight="1" x14ac:dyDescent="0.2">
      <c r="A42" s="340" t="s">
        <v>253</v>
      </c>
      <c r="B42" s="448" t="s">
        <v>512</v>
      </c>
      <c r="C42" s="459"/>
      <c r="D42" s="457"/>
      <c r="E42" s="458">
        <f>3000+2000</f>
        <v>5000</v>
      </c>
      <c r="F42" s="458"/>
      <c r="G42" s="457"/>
      <c r="H42" s="388">
        <f t="shared" si="0"/>
        <v>5000</v>
      </c>
      <c r="I42" s="457"/>
      <c r="J42" s="457"/>
      <c r="K42" s="458">
        <f>3000+2000</f>
        <v>5000</v>
      </c>
      <c r="L42" s="458"/>
      <c r="M42" s="457"/>
      <c r="N42" s="447">
        <f t="shared" si="1"/>
        <v>5000</v>
      </c>
    </row>
    <row r="43" spans="1:14" ht="23.1" customHeight="1" x14ac:dyDescent="0.2">
      <c r="A43" s="340" t="s">
        <v>273</v>
      </c>
      <c r="B43" s="448" t="s">
        <v>368</v>
      </c>
      <c r="C43" s="457"/>
      <c r="D43" s="457"/>
      <c r="E43" s="458">
        <v>14000</v>
      </c>
      <c r="F43" s="458"/>
      <c r="G43" s="457"/>
      <c r="H43" s="388">
        <f t="shared" si="0"/>
        <v>14000</v>
      </c>
      <c r="I43" s="457"/>
      <c r="J43" s="457"/>
      <c r="K43" s="458">
        <v>14000</v>
      </c>
      <c r="L43" s="458"/>
      <c r="M43" s="457"/>
      <c r="N43" s="447">
        <f t="shared" si="1"/>
        <v>14000</v>
      </c>
    </row>
    <row r="44" spans="1:14" ht="23.1" customHeight="1" x14ac:dyDescent="0.2">
      <c r="A44" s="340" t="s">
        <v>274</v>
      </c>
      <c r="B44" s="448" t="s">
        <v>369</v>
      </c>
      <c r="C44" s="459"/>
      <c r="D44" s="457"/>
      <c r="E44" s="458"/>
      <c r="F44" s="458"/>
      <c r="G44" s="457"/>
      <c r="H44" s="388">
        <f t="shared" si="0"/>
        <v>0</v>
      </c>
      <c r="I44" s="457"/>
      <c r="J44" s="457"/>
      <c r="K44" s="458">
        <v>1254</v>
      </c>
      <c r="L44" s="458"/>
      <c r="M44" s="457"/>
      <c r="N44" s="447">
        <f t="shared" si="1"/>
        <v>1254</v>
      </c>
    </row>
    <row r="45" spans="1:14" ht="23.1" customHeight="1" x14ac:dyDescent="0.2">
      <c r="A45" s="340" t="s">
        <v>275</v>
      </c>
      <c r="B45" s="448" t="s">
        <v>379</v>
      </c>
      <c r="C45" s="459"/>
      <c r="D45" s="457"/>
      <c r="E45" s="458">
        <v>2000</v>
      </c>
      <c r="F45" s="458"/>
      <c r="G45" s="457"/>
      <c r="H45" s="388">
        <f t="shared" si="0"/>
        <v>2000</v>
      </c>
      <c r="I45" s="457"/>
      <c r="J45" s="457"/>
      <c r="K45" s="458">
        <v>2000</v>
      </c>
      <c r="L45" s="458"/>
      <c r="M45" s="457"/>
      <c r="N45" s="447">
        <f t="shared" si="1"/>
        <v>2000</v>
      </c>
    </row>
    <row r="46" spans="1:14" ht="23.1" customHeight="1" x14ac:dyDescent="0.2">
      <c r="A46" s="340" t="s">
        <v>276</v>
      </c>
      <c r="B46" s="448" t="s">
        <v>565</v>
      </c>
      <c r="C46" s="459"/>
      <c r="D46" s="457"/>
      <c r="E46" s="458">
        <v>10000</v>
      </c>
      <c r="F46" s="458"/>
      <c r="G46" s="457"/>
      <c r="H46" s="388">
        <f t="shared" si="0"/>
        <v>10000</v>
      </c>
      <c r="I46" s="457"/>
      <c r="J46" s="457"/>
      <c r="K46" s="458">
        <f>10000+2694+523+159+3832-106-3831-7000</f>
        <v>6271</v>
      </c>
      <c r="L46" s="458"/>
      <c r="M46" s="457"/>
      <c r="N46" s="447">
        <f t="shared" si="1"/>
        <v>6271</v>
      </c>
    </row>
    <row r="47" spans="1:14" ht="23.1" customHeight="1" x14ac:dyDescent="0.2">
      <c r="A47" s="340" t="s">
        <v>277</v>
      </c>
      <c r="B47" s="448" t="s">
        <v>489</v>
      </c>
      <c r="C47" s="459"/>
      <c r="D47" s="457"/>
      <c r="E47" s="458">
        <v>2000</v>
      </c>
      <c r="F47" s="458"/>
      <c r="G47" s="457"/>
      <c r="H47" s="388">
        <f t="shared" si="0"/>
        <v>2000</v>
      </c>
      <c r="I47" s="457"/>
      <c r="J47" s="457"/>
      <c r="K47" s="458">
        <v>2000</v>
      </c>
      <c r="L47" s="458"/>
      <c r="M47" s="457"/>
      <c r="N47" s="447">
        <f t="shared" si="1"/>
        <v>2000</v>
      </c>
    </row>
    <row r="48" spans="1:14" ht="23.1" customHeight="1" x14ac:dyDescent="0.2">
      <c r="A48" s="364" t="s">
        <v>278</v>
      </c>
      <c r="B48" s="448" t="s">
        <v>440</v>
      </c>
      <c r="C48" s="459"/>
      <c r="D48" s="457"/>
      <c r="E48" s="458">
        <v>1000</v>
      </c>
      <c r="F48" s="458"/>
      <c r="G48" s="457"/>
      <c r="H48" s="388">
        <f t="shared" si="0"/>
        <v>1000</v>
      </c>
      <c r="I48" s="457"/>
      <c r="J48" s="457"/>
      <c r="K48" s="458">
        <v>1000</v>
      </c>
      <c r="L48" s="458"/>
      <c r="M48" s="457"/>
      <c r="N48" s="447">
        <f t="shared" si="1"/>
        <v>1000</v>
      </c>
    </row>
    <row r="49" spans="1:14" ht="23.1" customHeight="1" x14ac:dyDescent="0.2">
      <c r="A49" s="364" t="s">
        <v>279</v>
      </c>
      <c r="B49" s="448" t="s">
        <v>451</v>
      </c>
      <c r="C49" s="459"/>
      <c r="D49" s="457"/>
      <c r="E49" s="458">
        <v>2368</v>
      </c>
      <c r="F49" s="458"/>
      <c r="G49" s="457"/>
      <c r="H49" s="388">
        <f t="shared" si="0"/>
        <v>2368</v>
      </c>
      <c r="I49" s="457"/>
      <c r="J49" s="457"/>
      <c r="K49" s="458">
        <v>2368</v>
      </c>
      <c r="L49" s="458"/>
      <c r="M49" s="457"/>
      <c r="N49" s="447">
        <f t="shared" si="1"/>
        <v>2368</v>
      </c>
    </row>
    <row r="50" spans="1:14" ht="23.1" customHeight="1" x14ac:dyDescent="0.2">
      <c r="A50" s="364" t="s">
        <v>346</v>
      </c>
      <c r="B50" s="448" t="s">
        <v>442</v>
      </c>
      <c r="C50" s="459"/>
      <c r="D50" s="457"/>
      <c r="E50" s="458">
        <f>3*550</f>
        <v>1650</v>
      </c>
      <c r="F50" s="458"/>
      <c r="G50" s="457"/>
      <c r="H50" s="388">
        <f t="shared" si="0"/>
        <v>1650</v>
      </c>
      <c r="I50" s="457"/>
      <c r="J50" s="457"/>
      <c r="K50" s="458">
        <f>3*550</f>
        <v>1650</v>
      </c>
      <c r="L50" s="458"/>
      <c r="M50" s="457"/>
      <c r="N50" s="447">
        <f t="shared" si="1"/>
        <v>1650</v>
      </c>
    </row>
    <row r="51" spans="1:14" ht="25.5" customHeight="1" x14ac:dyDescent="0.2">
      <c r="A51" s="364" t="s">
        <v>356</v>
      </c>
      <c r="B51" s="448" t="s">
        <v>507</v>
      </c>
      <c r="C51" s="459"/>
      <c r="D51" s="457"/>
      <c r="E51" s="458">
        <v>300</v>
      </c>
      <c r="F51" s="458"/>
      <c r="G51" s="457"/>
      <c r="H51" s="388">
        <f t="shared" si="0"/>
        <v>300</v>
      </c>
      <c r="I51" s="457"/>
      <c r="J51" s="457"/>
      <c r="K51" s="458">
        <f>300+4000</f>
        <v>4300</v>
      </c>
      <c r="L51" s="458"/>
      <c r="M51" s="457"/>
      <c r="N51" s="447">
        <f t="shared" si="1"/>
        <v>4300</v>
      </c>
    </row>
    <row r="52" spans="1:14" ht="24.75" customHeight="1" x14ac:dyDescent="0.2">
      <c r="A52" s="364" t="s">
        <v>382</v>
      </c>
      <c r="B52" s="448" t="s">
        <v>515</v>
      </c>
      <c r="C52" s="459"/>
      <c r="D52" s="457"/>
      <c r="E52" s="458">
        <v>5000</v>
      </c>
      <c r="F52" s="458"/>
      <c r="G52" s="457"/>
      <c r="H52" s="388">
        <f t="shared" si="0"/>
        <v>5000</v>
      </c>
      <c r="I52" s="457"/>
      <c r="J52" s="457"/>
      <c r="K52" s="458">
        <v>5000</v>
      </c>
      <c r="L52" s="458"/>
      <c r="M52" s="457"/>
      <c r="N52" s="447">
        <f t="shared" si="1"/>
        <v>5000</v>
      </c>
    </row>
    <row r="53" spans="1:14" ht="23.1" customHeight="1" x14ac:dyDescent="0.2">
      <c r="A53" s="364" t="s">
        <v>475</v>
      </c>
      <c r="B53" s="448" t="s">
        <v>514</v>
      </c>
      <c r="C53" s="459"/>
      <c r="D53" s="457"/>
      <c r="E53" s="458">
        <v>3000</v>
      </c>
      <c r="F53" s="458"/>
      <c r="G53" s="457"/>
      <c r="H53" s="388">
        <f t="shared" si="0"/>
        <v>3000</v>
      </c>
      <c r="I53" s="457"/>
      <c r="J53" s="457"/>
      <c r="K53" s="458">
        <v>3000</v>
      </c>
      <c r="L53" s="458"/>
      <c r="M53" s="457"/>
      <c r="N53" s="447">
        <f t="shared" si="1"/>
        <v>3000</v>
      </c>
    </row>
    <row r="54" spans="1:14" ht="23.1" customHeight="1" x14ac:dyDescent="0.2">
      <c r="A54" s="364"/>
      <c r="B54" s="448"/>
      <c r="C54" s="459"/>
      <c r="D54" s="457"/>
      <c r="E54" s="458"/>
      <c r="F54" s="458"/>
      <c r="G54" s="457"/>
      <c r="H54" s="388">
        <v>0</v>
      </c>
      <c r="I54" s="457"/>
      <c r="J54" s="457"/>
      <c r="K54" s="458"/>
      <c r="L54" s="458"/>
      <c r="M54" s="457"/>
      <c r="N54" s="447">
        <v>0</v>
      </c>
    </row>
    <row r="55" spans="1:14" ht="23.1" customHeight="1" thickBot="1" x14ac:dyDescent="0.25">
      <c r="A55" s="364"/>
      <c r="B55" s="448"/>
      <c r="C55" s="457"/>
      <c r="D55" s="457"/>
      <c r="E55" s="458"/>
      <c r="F55" s="458"/>
      <c r="G55" s="457"/>
      <c r="H55" s="388"/>
      <c r="I55" s="457"/>
      <c r="J55" s="457"/>
      <c r="K55" s="458"/>
      <c r="L55" s="458"/>
      <c r="M55" s="457"/>
      <c r="N55" s="447"/>
    </row>
    <row r="56" spans="1:14" s="1" customFormat="1" ht="30.75" customHeight="1" thickBot="1" x14ac:dyDescent="0.25">
      <c r="A56" s="230"/>
      <c r="B56" s="450" t="s">
        <v>53</v>
      </c>
      <c r="C56" s="460">
        <f>SUM(C3:C55)</f>
        <v>420</v>
      </c>
      <c r="D56" s="461">
        <f>SUM(D3:D55)</f>
        <v>36</v>
      </c>
      <c r="E56" s="461">
        <f>SUM(E3:E55)</f>
        <v>658123</v>
      </c>
      <c r="F56" s="461">
        <f>SUM(F3:F55)</f>
        <v>0</v>
      </c>
      <c r="G56" s="461">
        <f>SUM(G3:G55)</f>
        <v>0</v>
      </c>
      <c r="H56" s="451">
        <f t="shared" ref="H56" si="2">SUM(C56:G56)</f>
        <v>658579</v>
      </c>
      <c r="I56" s="461">
        <f>SUM(I3:I55)</f>
        <v>630</v>
      </c>
      <c r="J56" s="461">
        <f>SUM(J3:J55)</f>
        <v>54</v>
      </c>
      <c r="K56" s="461">
        <f>SUM(K3:K55)</f>
        <v>707844</v>
      </c>
      <c r="L56" s="461">
        <f>SUM(L3:L55)</f>
        <v>0</v>
      </c>
      <c r="M56" s="461">
        <f>SUM(M3:M55)</f>
        <v>100</v>
      </c>
      <c r="N56" s="452">
        <f t="shared" ref="N56" si="3">SUM(I56:M56)</f>
        <v>708628</v>
      </c>
    </row>
    <row r="57" spans="1:14" ht="13.5" thickTop="1" x14ac:dyDescent="0.2"/>
  </sheetData>
  <sortState ref="A3:U51">
    <sortCondition ref="A3"/>
  </sortState>
  <mergeCells count="3">
    <mergeCell ref="A1:A2"/>
    <mergeCell ref="C1:H1"/>
    <mergeCell ref="I1:N1"/>
  </mergeCells>
  <phoneticPr fontId="0" type="noConversion"/>
  <printOptions horizontalCentered="1"/>
  <pageMargins left="0.19685039370078741" right="0.15748031496062992" top="1.2204724409448819" bottom="0.47244094488188981" header="0.47244094488188981" footer="0.23622047244094491"/>
  <pageSetup paperSize="8" scale="77" orientation="portrait" r:id="rId1"/>
  <headerFooter alignWithMargins="0">
    <oddHeader>&amp;C&amp;"Times New Roman CE,Félkövér"&amp;18Városüzemeltetés&amp;"Times New Roman CE,Normál"
&amp;11/ ezer Ft &amp;18/&amp;R&amp;"Times New Roman,Normál"&amp;12 9. sz.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pageSetUpPr fitToPage="1"/>
  </sheetPr>
  <dimension ref="A1:D25"/>
  <sheetViews>
    <sheetView zoomScale="130" zoomScaleNormal="130" workbookViewId="0">
      <selection sqref="A1:D23"/>
    </sheetView>
  </sheetViews>
  <sheetFormatPr defaultColWidth="9.140625" defaultRowHeight="12.75" x14ac:dyDescent="0.2"/>
  <cols>
    <col min="1" max="1" width="8.7109375" style="60" customWidth="1"/>
    <col min="2" max="2" width="47.42578125" style="15" customWidth="1"/>
    <col min="3" max="4" width="12.7109375" style="15" customWidth="1"/>
    <col min="5" max="16384" width="9.140625" style="15"/>
  </cols>
  <sheetData>
    <row r="1" spans="1:4" ht="19.5" thickTop="1" x14ac:dyDescent="0.2">
      <c r="A1" s="623" t="s">
        <v>181</v>
      </c>
      <c r="B1" s="625" t="s">
        <v>56</v>
      </c>
      <c r="C1" s="627" t="s">
        <v>94</v>
      </c>
      <c r="D1" s="609"/>
    </row>
    <row r="2" spans="1:4" ht="20.25" customHeight="1" thickBot="1" x14ac:dyDescent="0.25">
      <c r="A2" s="624"/>
      <c r="B2" s="626"/>
      <c r="C2" s="462" t="s">
        <v>527</v>
      </c>
      <c r="D2" s="463" t="s">
        <v>528</v>
      </c>
    </row>
    <row r="3" spans="1:4" s="16" customFormat="1" ht="21.95" customHeight="1" x14ac:dyDescent="0.2">
      <c r="A3" s="468"/>
      <c r="B3" s="464"/>
      <c r="C3" s="469"/>
      <c r="D3" s="470"/>
    </row>
    <row r="4" spans="1:4" ht="21.95" customHeight="1" x14ac:dyDescent="0.2">
      <c r="A4" s="468" t="s">
        <v>196</v>
      </c>
      <c r="B4" s="465" t="s">
        <v>26</v>
      </c>
      <c r="C4" s="471">
        <v>7000</v>
      </c>
      <c r="D4" s="472">
        <f>7000-1500</f>
        <v>5500</v>
      </c>
    </row>
    <row r="5" spans="1:4" ht="21.95" customHeight="1" x14ac:dyDescent="0.2">
      <c r="A5" s="468" t="s">
        <v>197</v>
      </c>
      <c r="B5" s="465" t="s">
        <v>364</v>
      </c>
      <c r="C5" s="471">
        <v>5000</v>
      </c>
      <c r="D5" s="472">
        <v>5000</v>
      </c>
    </row>
    <row r="6" spans="1:4" ht="21.95" customHeight="1" x14ac:dyDescent="0.2">
      <c r="A6" s="468" t="s">
        <v>198</v>
      </c>
      <c r="B6" s="465" t="s">
        <v>287</v>
      </c>
      <c r="C6" s="471">
        <v>8000</v>
      </c>
      <c r="D6" s="472">
        <f>8000-1500</f>
        <v>6500</v>
      </c>
    </row>
    <row r="7" spans="1:4" ht="21.95" customHeight="1" x14ac:dyDescent="0.2">
      <c r="A7" s="468" t="s">
        <v>199</v>
      </c>
      <c r="B7" s="465" t="s">
        <v>167</v>
      </c>
      <c r="C7" s="471">
        <v>5000</v>
      </c>
      <c r="D7" s="472">
        <v>5000</v>
      </c>
    </row>
    <row r="8" spans="1:4" ht="21.95" customHeight="1" x14ac:dyDescent="0.2">
      <c r="A8" s="468" t="s">
        <v>213</v>
      </c>
      <c r="B8" s="465" t="s">
        <v>166</v>
      </c>
      <c r="C8" s="471">
        <v>4000</v>
      </c>
      <c r="D8" s="472">
        <v>4000</v>
      </c>
    </row>
    <row r="9" spans="1:4" ht="31.5" customHeight="1" x14ac:dyDescent="0.2">
      <c r="A9" s="468" t="s">
        <v>214</v>
      </c>
      <c r="B9" s="466" t="s">
        <v>337</v>
      </c>
      <c r="C9" s="471">
        <v>2200</v>
      </c>
      <c r="D9" s="472">
        <v>2200</v>
      </c>
    </row>
    <row r="10" spans="1:4" ht="21.95" customHeight="1" x14ac:dyDescent="0.2">
      <c r="A10" s="468" t="s">
        <v>215</v>
      </c>
      <c r="B10" s="465" t="s">
        <v>95</v>
      </c>
      <c r="C10" s="471">
        <v>4000</v>
      </c>
      <c r="D10" s="472">
        <f>4000+1000</f>
        <v>5000</v>
      </c>
    </row>
    <row r="11" spans="1:4" ht="21.95" customHeight="1" x14ac:dyDescent="0.2">
      <c r="A11" s="468" t="s">
        <v>217</v>
      </c>
      <c r="B11" s="465" t="s">
        <v>306</v>
      </c>
      <c r="C11" s="471">
        <v>2978</v>
      </c>
      <c r="D11" s="472">
        <f>2978-2530</f>
        <v>448</v>
      </c>
    </row>
    <row r="12" spans="1:4" ht="21.95" customHeight="1" x14ac:dyDescent="0.2">
      <c r="A12" s="468" t="s">
        <v>218</v>
      </c>
      <c r="B12" s="465" t="s">
        <v>153</v>
      </c>
      <c r="C12" s="471">
        <v>2500</v>
      </c>
      <c r="D12" s="472">
        <f>2500+1500</f>
        <v>4000</v>
      </c>
    </row>
    <row r="13" spans="1:4" ht="21.95" customHeight="1" x14ac:dyDescent="0.2">
      <c r="A13" s="468" t="s">
        <v>219</v>
      </c>
      <c r="B13" s="465" t="s">
        <v>141</v>
      </c>
      <c r="C13" s="471">
        <v>722</v>
      </c>
      <c r="D13" s="472">
        <v>722</v>
      </c>
    </row>
    <row r="14" spans="1:4" ht="21.95" customHeight="1" x14ac:dyDescent="0.2">
      <c r="A14" s="468" t="s">
        <v>220</v>
      </c>
      <c r="B14" s="465" t="s">
        <v>288</v>
      </c>
      <c r="C14" s="471">
        <v>29500</v>
      </c>
      <c r="D14" s="472">
        <f>29500-1500-1000</f>
        <v>27000</v>
      </c>
    </row>
    <row r="15" spans="1:4" ht="21.95" customHeight="1" x14ac:dyDescent="0.2">
      <c r="A15" s="468" t="s">
        <v>221</v>
      </c>
      <c r="B15" s="465" t="s">
        <v>289</v>
      </c>
      <c r="C15" s="471">
        <v>7000</v>
      </c>
      <c r="D15" s="472">
        <f>7000+1500</f>
        <v>8500</v>
      </c>
    </row>
    <row r="16" spans="1:4" ht="21.95" customHeight="1" x14ac:dyDescent="0.2">
      <c r="A16" s="468" t="s">
        <v>222</v>
      </c>
      <c r="B16" s="465" t="s">
        <v>336</v>
      </c>
      <c r="C16" s="471">
        <v>3500</v>
      </c>
      <c r="D16" s="472">
        <v>3500</v>
      </c>
    </row>
    <row r="17" spans="1:4" ht="21.95" customHeight="1" x14ac:dyDescent="0.2">
      <c r="A17" s="468" t="s">
        <v>223</v>
      </c>
      <c r="B17" s="465" t="s">
        <v>290</v>
      </c>
      <c r="C17" s="471">
        <v>5000</v>
      </c>
      <c r="D17" s="472">
        <v>5000</v>
      </c>
    </row>
    <row r="18" spans="1:4" ht="21.95" customHeight="1" x14ac:dyDescent="0.2">
      <c r="A18" s="468" t="s">
        <v>224</v>
      </c>
      <c r="B18" s="465" t="s">
        <v>594</v>
      </c>
      <c r="C18" s="471">
        <v>2000</v>
      </c>
      <c r="D18" s="472">
        <v>2000</v>
      </c>
    </row>
    <row r="19" spans="1:4" ht="21.95" customHeight="1" x14ac:dyDescent="0.2">
      <c r="A19" s="473" t="s">
        <v>225</v>
      </c>
      <c r="B19" s="465" t="s">
        <v>307</v>
      </c>
      <c r="C19" s="471">
        <v>800</v>
      </c>
      <c r="D19" s="472">
        <v>800</v>
      </c>
    </row>
    <row r="20" spans="1:4" ht="21.95" customHeight="1" x14ac:dyDescent="0.2">
      <c r="A20" s="473" t="s">
        <v>226</v>
      </c>
      <c r="B20" s="465" t="s">
        <v>488</v>
      </c>
      <c r="C20" s="471">
        <v>800</v>
      </c>
      <c r="D20" s="472">
        <v>800</v>
      </c>
    </row>
    <row r="21" spans="1:4" ht="21.95" customHeight="1" x14ac:dyDescent="0.2">
      <c r="A21" s="473" t="s">
        <v>227</v>
      </c>
      <c r="B21" s="465" t="s">
        <v>595</v>
      </c>
      <c r="C21" s="471"/>
      <c r="D21" s="472">
        <v>1500</v>
      </c>
    </row>
    <row r="22" spans="1:4" ht="21.95" customHeight="1" thickBot="1" x14ac:dyDescent="0.25">
      <c r="A22" s="473"/>
      <c r="B22" s="465"/>
      <c r="C22" s="471"/>
      <c r="D22" s="472"/>
    </row>
    <row r="23" spans="1:4" s="16" customFormat="1" ht="21.95" customHeight="1" thickBot="1" x14ac:dyDescent="0.25">
      <c r="A23" s="474"/>
      <c r="B23" s="467" t="s">
        <v>139</v>
      </c>
      <c r="C23" s="475">
        <f>SUM(C4:C20)</f>
        <v>90000</v>
      </c>
      <c r="D23" s="476">
        <f>SUM(D4:D22)</f>
        <v>87470</v>
      </c>
    </row>
    <row r="24" spans="1:4" ht="13.5" thickTop="1" x14ac:dyDescent="0.2">
      <c r="B24" s="43"/>
      <c r="C24" s="43"/>
      <c r="D24" s="43"/>
    </row>
    <row r="25" spans="1:4" x14ac:dyDescent="0.2">
      <c r="B25" s="44"/>
      <c r="C25" s="44"/>
      <c r="D25" s="44"/>
    </row>
  </sheetData>
  <mergeCells count="3">
    <mergeCell ref="A1:A2"/>
    <mergeCell ref="B1:B2"/>
    <mergeCell ref="C1:D1"/>
  </mergeCells>
  <phoneticPr fontId="4" type="noConversion"/>
  <printOptions horizontalCentered="1"/>
  <pageMargins left="0.49" right="0.56000000000000005" top="1.82" bottom="1.56" header="0.78" footer="1.06"/>
  <pageSetup paperSize="8" orientation="portrait" blackAndWhite="1" r:id="rId1"/>
  <headerFooter alignWithMargins="0">
    <oddHeader>&amp;C&amp;"Times New Roman CE,Félkövér"&amp;16
Szociálpolitikai feladatok&amp;"Times New Roman CE,Normál"&amp;18
&amp;11/ ezer Ft /&amp;R&amp;"Times New Roman,Normál"&amp;12 10. sz. melléklet</oddHeader>
    <oddFooter xml:space="preserve">&amp;R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E35"/>
  <sheetViews>
    <sheetView zoomScale="70" zoomScaleNormal="70" workbookViewId="0">
      <selection sqref="A1:D34"/>
    </sheetView>
  </sheetViews>
  <sheetFormatPr defaultRowHeight="12.75" x14ac:dyDescent="0.2"/>
  <cols>
    <col min="1" max="1" width="9.140625" style="55"/>
    <col min="2" max="2" width="59" customWidth="1"/>
    <col min="3" max="4" width="12.7109375" customWidth="1"/>
  </cols>
  <sheetData>
    <row r="1" spans="1:5" ht="19.5" thickTop="1" x14ac:dyDescent="0.2">
      <c r="A1" s="628" t="s">
        <v>181</v>
      </c>
      <c r="B1" s="582" t="s">
        <v>56</v>
      </c>
      <c r="C1" s="627" t="s">
        <v>94</v>
      </c>
      <c r="D1" s="609"/>
    </row>
    <row r="2" spans="1:5" ht="17.25" customHeight="1" thickBot="1" x14ac:dyDescent="0.25">
      <c r="A2" s="629"/>
      <c r="B2" s="630"/>
      <c r="C2" s="462" t="s">
        <v>527</v>
      </c>
      <c r="D2" s="463" t="s">
        <v>528</v>
      </c>
    </row>
    <row r="3" spans="1:5" ht="23.1" customHeight="1" x14ac:dyDescent="0.2">
      <c r="A3" s="226" t="s">
        <v>204</v>
      </c>
      <c r="B3" s="363" t="s">
        <v>12</v>
      </c>
      <c r="C3" s="480"/>
      <c r="D3" s="481"/>
    </row>
    <row r="4" spans="1:5" ht="23.1" customHeight="1" x14ac:dyDescent="0.2">
      <c r="A4" s="226" t="s">
        <v>205</v>
      </c>
      <c r="B4" s="363" t="s">
        <v>452</v>
      </c>
      <c r="C4" s="480">
        <v>2000</v>
      </c>
      <c r="D4" s="482">
        <f>2000+20+66+52+65+78-1700</f>
        <v>581</v>
      </c>
    </row>
    <row r="5" spans="1:5" ht="23.1" customHeight="1" x14ac:dyDescent="0.2">
      <c r="A5" s="340" t="s">
        <v>313</v>
      </c>
      <c r="B5" s="363" t="s">
        <v>354</v>
      </c>
      <c r="C5" s="480">
        <v>5000</v>
      </c>
      <c r="D5" s="355">
        <f>5000-4500-500</f>
        <v>0</v>
      </c>
    </row>
    <row r="6" spans="1:5" ht="31.5" customHeight="1" x14ac:dyDescent="0.2">
      <c r="A6" s="340" t="s">
        <v>331</v>
      </c>
      <c r="B6" s="477" t="s">
        <v>513</v>
      </c>
      <c r="C6" s="480">
        <v>3000</v>
      </c>
      <c r="D6" s="355">
        <f>3000+3000</f>
        <v>6000</v>
      </c>
      <c r="E6" s="77"/>
    </row>
    <row r="7" spans="1:5" ht="23.1" customHeight="1" x14ac:dyDescent="0.2">
      <c r="A7" s="340"/>
      <c r="B7" s="363"/>
      <c r="C7" s="480"/>
      <c r="D7" s="355"/>
      <c r="E7" s="77"/>
    </row>
    <row r="8" spans="1:5" ht="23.1" customHeight="1" thickBot="1" x14ac:dyDescent="0.25">
      <c r="A8" s="364"/>
      <c r="B8" s="363"/>
      <c r="C8" s="483"/>
      <c r="D8" s="472"/>
      <c r="E8" s="77"/>
    </row>
    <row r="9" spans="1:5" s="1" customFormat="1" ht="23.1" customHeight="1" thickBot="1" x14ac:dyDescent="0.25">
      <c r="A9" s="484"/>
      <c r="B9" s="478" t="s">
        <v>17</v>
      </c>
      <c r="C9" s="485">
        <f>SUM(C3:C8)</f>
        <v>10000</v>
      </c>
      <c r="D9" s="486">
        <f>SUM(D3:D8)</f>
        <v>6581</v>
      </c>
      <c r="E9" s="77"/>
    </row>
    <row r="10" spans="1:5" s="2" customFormat="1" ht="18.75" customHeight="1" x14ac:dyDescent="0.2">
      <c r="A10" s="487"/>
      <c r="B10" s="68"/>
      <c r="C10" s="488"/>
      <c r="D10" s="489"/>
      <c r="E10" s="77"/>
    </row>
    <row r="11" spans="1:5" ht="23.1" customHeight="1" x14ac:dyDescent="0.2">
      <c r="A11" s="340" t="s">
        <v>200</v>
      </c>
      <c r="B11" s="363" t="s">
        <v>171</v>
      </c>
      <c r="C11" s="480">
        <v>8000</v>
      </c>
      <c r="D11" s="355">
        <v>8000</v>
      </c>
      <c r="E11" s="79"/>
    </row>
    <row r="12" spans="1:5" ht="23.1" customHeight="1" x14ac:dyDescent="0.2">
      <c r="A12" s="340" t="s">
        <v>450</v>
      </c>
      <c r="B12" s="363" t="s">
        <v>429</v>
      </c>
      <c r="C12" s="480">
        <v>27000</v>
      </c>
      <c r="D12" s="355">
        <f>27000+5000</f>
        <v>32000</v>
      </c>
      <c r="E12" s="80"/>
    </row>
    <row r="13" spans="1:5" ht="23.1" customHeight="1" x14ac:dyDescent="0.2">
      <c r="A13" s="340" t="s">
        <v>201</v>
      </c>
      <c r="B13" s="363" t="s">
        <v>32</v>
      </c>
      <c r="C13" s="480">
        <f>152974-21604-32295+7984</f>
        <v>107059</v>
      </c>
      <c r="D13" s="355">
        <f>152974-21604-32295+7984+1050+8386-1</f>
        <v>116494</v>
      </c>
      <c r="E13" s="77"/>
    </row>
    <row r="14" spans="1:5" ht="23.1" customHeight="1" x14ac:dyDescent="0.2">
      <c r="A14" s="340" t="s">
        <v>202</v>
      </c>
      <c r="B14" s="363" t="s">
        <v>304</v>
      </c>
      <c r="C14" s="490">
        <v>236880</v>
      </c>
      <c r="D14" s="491">
        <f>236880+41973+25405</f>
        <v>304258</v>
      </c>
      <c r="E14" s="77"/>
    </row>
    <row r="15" spans="1:5" ht="23.1" customHeight="1" x14ac:dyDescent="0.2">
      <c r="A15" s="340" t="s">
        <v>203</v>
      </c>
      <c r="B15" s="363" t="s">
        <v>187</v>
      </c>
      <c r="C15" s="480">
        <v>33000</v>
      </c>
      <c r="D15" s="355">
        <v>33000</v>
      </c>
      <c r="E15" s="77"/>
    </row>
    <row r="16" spans="1:5" ht="23.1" customHeight="1" x14ac:dyDescent="0.2">
      <c r="A16" s="340" t="s">
        <v>254</v>
      </c>
      <c r="B16" s="363" t="s">
        <v>188</v>
      </c>
      <c r="C16" s="480">
        <v>6000</v>
      </c>
      <c r="D16" s="355">
        <v>6000</v>
      </c>
      <c r="E16" s="77"/>
    </row>
    <row r="17" spans="1:5" ht="23.1" customHeight="1" x14ac:dyDescent="0.2">
      <c r="A17" s="340" t="s">
        <v>255</v>
      </c>
      <c r="B17" s="363" t="s">
        <v>157</v>
      </c>
      <c r="C17" s="480">
        <v>2000</v>
      </c>
      <c r="D17" s="355">
        <v>2000</v>
      </c>
      <c r="E17" s="77"/>
    </row>
    <row r="18" spans="1:5" ht="23.1" customHeight="1" x14ac:dyDescent="0.2">
      <c r="A18" s="340" t="s">
        <v>256</v>
      </c>
      <c r="B18" s="363" t="s">
        <v>160</v>
      </c>
      <c r="C18" s="480">
        <v>1500</v>
      </c>
      <c r="D18" s="355">
        <v>1500</v>
      </c>
      <c r="E18" s="77"/>
    </row>
    <row r="19" spans="1:5" ht="23.1" customHeight="1" x14ac:dyDescent="0.2">
      <c r="A19" s="340" t="s">
        <v>257</v>
      </c>
      <c r="B19" s="363" t="s">
        <v>189</v>
      </c>
      <c r="C19" s="480">
        <v>350</v>
      </c>
      <c r="D19" s="355">
        <v>350</v>
      </c>
      <c r="E19" s="77"/>
    </row>
    <row r="20" spans="1:5" ht="23.1" customHeight="1" x14ac:dyDescent="0.2">
      <c r="A20" s="340" t="s">
        <v>258</v>
      </c>
      <c r="B20" s="363" t="s">
        <v>308</v>
      </c>
      <c r="C20" s="480">
        <v>3500</v>
      </c>
      <c r="D20" s="355">
        <v>3500</v>
      </c>
      <c r="E20" s="77"/>
    </row>
    <row r="21" spans="1:5" ht="23.1" customHeight="1" x14ac:dyDescent="0.2">
      <c r="A21" s="340" t="s">
        <v>303</v>
      </c>
      <c r="B21" s="363" t="s">
        <v>297</v>
      </c>
      <c r="C21" s="480">
        <v>1000</v>
      </c>
      <c r="D21" s="355">
        <v>1000</v>
      </c>
      <c r="E21" s="77"/>
    </row>
    <row r="22" spans="1:5" ht="23.1" customHeight="1" x14ac:dyDescent="0.2">
      <c r="A22" s="340" t="s">
        <v>316</v>
      </c>
      <c r="B22" s="363" t="s">
        <v>315</v>
      </c>
      <c r="C22" s="480">
        <v>570</v>
      </c>
      <c r="D22" s="355">
        <f>570+150</f>
        <v>720</v>
      </c>
      <c r="E22" s="77"/>
    </row>
    <row r="23" spans="1:5" ht="23.1" customHeight="1" x14ac:dyDescent="0.2">
      <c r="A23" s="340" t="s">
        <v>317</v>
      </c>
      <c r="B23" s="363" t="s">
        <v>374</v>
      </c>
      <c r="C23" s="480">
        <f>5000+1000-1000</f>
        <v>5000</v>
      </c>
      <c r="D23" s="355">
        <f>5000+1000-1000</f>
        <v>5000</v>
      </c>
      <c r="E23" s="77"/>
    </row>
    <row r="24" spans="1:5" ht="23.1" customHeight="1" x14ac:dyDescent="0.2">
      <c r="A24" s="340" t="s">
        <v>319</v>
      </c>
      <c r="B24" s="363" t="s">
        <v>333</v>
      </c>
      <c r="C24" s="480">
        <v>1300</v>
      </c>
      <c r="D24" s="355">
        <v>1300</v>
      </c>
      <c r="E24" s="77"/>
    </row>
    <row r="25" spans="1:5" ht="23.1" customHeight="1" x14ac:dyDescent="0.2">
      <c r="A25" s="340" t="s">
        <v>455</v>
      </c>
      <c r="B25" s="363" t="s">
        <v>350</v>
      </c>
      <c r="C25" s="480">
        <v>400</v>
      </c>
      <c r="D25" s="355">
        <v>400</v>
      </c>
      <c r="E25" s="81"/>
    </row>
    <row r="26" spans="1:5" ht="23.1" customHeight="1" x14ac:dyDescent="0.2">
      <c r="A26" s="340" t="s">
        <v>357</v>
      </c>
      <c r="B26" s="363" t="s">
        <v>353</v>
      </c>
      <c r="C26" s="480">
        <v>12000</v>
      </c>
      <c r="D26" s="355">
        <v>12000</v>
      </c>
      <c r="E26" s="77"/>
    </row>
    <row r="27" spans="1:5" ht="23.1" customHeight="1" x14ac:dyDescent="0.2">
      <c r="A27" s="340" t="s">
        <v>358</v>
      </c>
      <c r="B27" s="363" t="s">
        <v>454</v>
      </c>
      <c r="C27" s="480">
        <v>5000</v>
      </c>
      <c r="D27" s="355">
        <v>5000</v>
      </c>
      <c r="E27" s="77"/>
    </row>
    <row r="28" spans="1:5" ht="23.1" customHeight="1" x14ac:dyDescent="0.2">
      <c r="A28" s="340" t="s">
        <v>476</v>
      </c>
      <c r="B28" s="363" t="s">
        <v>487</v>
      </c>
      <c r="C28" s="480">
        <v>10000</v>
      </c>
      <c r="D28" s="355">
        <v>10000</v>
      </c>
      <c r="E28" s="77"/>
    </row>
    <row r="29" spans="1:5" ht="23.1" customHeight="1" x14ac:dyDescent="0.2">
      <c r="A29" s="340" t="s">
        <v>516</v>
      </c>
      <c r="B29" s="363" t="s">
        <v>477</v>
      </c>
      <c r="C29" s="480">
        <v>1000</v>
      </c>
      <c r="D29" s="355">
        <v>1000</v>
      </c>
      <c r="E29" s="77"/>
    </row>
    <row r="30" spans="1:5" ht="23.1" customHeight="1" x14ac:dyDescent="0.2">
      <c r="A30" s="364" t="s">
        <v>517</v>
      </c>
      <c r="B30" s="363" t="s">
        <v>518</v>
      </c>
      <c r="C30" s="483">
        <v>800</v>
      </c>
      <c r="D30" s="472">
        <f>800+120</f>
        <v>920</v>
      </c>
      <c r="E30" s="77"/>
    </row>
    <row r="31" spans="1:5" ht="23.1" customHeight="1" x14ac:dyDescent="0.2">
      <c r="A31" s="364" t="s">
        <v>568</v>
      </c>
      <c r="B31" s="363" t="s">
        <v>496</v>
      </c>
      <c r="C31" s="483"/>
      <c r="D31" s="472">
        <v>500</v>
      </c>
    </row>
    <row r="32" spans="1:5" ht="23.1" customHeight="1" x14ac:dyDescent="0.2">
      <c r="A32" s="364" t="s">
        <v>583</v>
      </c>
      <c r="B32" s="363" t="s">
        <v>584</v>
      </c>
      <c r="C32" s="483"/>
      <c r="D32" s="472">
        <v>800</v>
      </c>
    </row>
    <row r="33" spans="1:4" ht="23.1" customHeight="1" thickBot="1" x14ac:dyDescent="0.25">
      <c r="A33" s="364"/>
      <c r="B33" s="363"/>
      <c r="C33" s="483"/>
      <c r="D33" s="472"/>
    </row>
    <row r="34" spans="1:4" s="1" customFormat="1" ht="23.1" customHeight="1" thickBot="1" x14ac:dyDescent="0.25">
      <c r="A34" s="230"/>
      <c r="B34" s="479" t="s">
        <v>18</v>
      </c>
      <c r="C34" s="492">
        <f>SUM(C11:C33)</f>
        <v>462359</v>
      </c>
      <c r="D34" s="493">
        <f>SUM(D11:D33)</f>
        <v>545742</v>
      </c>
    </row>
    <row r="35" spans="1:4" ht="13.5" thickTop="1" x14ac:dyDescent="0.2"/>
  </sheetData>
  <mergeCells count="3">
    <mergeCell ref="A1:A2"/>
    <mergeCell ref="B1:B2"/>
    <mergeCell ref="C1:D1"/>
  </mergeCells>
  <phoneticPr fontId="0" type="noConversion"/>
  <printOptions horizontalCentered="1"/>
  <pageMargins left="0.63" right="0.6" top="2.14" bottom="0.72" header="0.91" footer="1.19"/>
  <pageSetup paperSize="8" orientation="portrait" r:id="rId1"/>
  <headerFooter alignWithMargins="0">
    <oddHeader>&amp;C&amp;"Times New Roman CE,Félkövér"&amp;16 Egyéb kiadások
/Átadott pénzeszközök/
&amp;"Times New Roman CE,Normál"&amp;10
&amp;11/ezer Ft/&amp;R&amp;"Times New Roman,Normál"&amp;12 11. sz. 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D43"/>
  <sheetViews>
    <sheetView topLeftCell="A7" zoomScale="80" zoomScaleNormal="80" workbookViewId="0">
      <selection sqref="A1:D41"/>
    </sheetView>
  </sheetViews>
  <sheetFormatPr defaultColWidth="9.140625" defaultRowHeight="12.75" x14ac:dyDescent="0.2"/>
  <cols>
    <col min="1" max="1" width="9.140625" style="55"/>
    <col min="2" max="2" width="64.28515625" customWidth="1"/>
    <col min="3" max="4" width="12.7109375" customWidth="1"/>
  </cols>
  <sheetData>
    <row r="1" spans="1:4" ht="19.5" thickTop="1" x14ac:dyDescent="0.2">
      <c r="A1" s="610" t="s">
        <v>181</v>
      </c>
      <c r="B1" s="582" t="s">
        <v>56</v>
      </c>
      <c r="C1" s="631" t="s">
        <v>93</v>
      </c>
      <c r="D1" s="616"/>
    </row>
    <row r="2" spans="1:4" ht="20.25" customHeight="1" thickBot="1" x14ac:dyDescent="0.25">
      <c r="A2" s="632"/>
      <c r="B2" s="630"/>
      <c r="C2" s="498" t="s">
        <v>527</v>
      </c>
      <c r="D2" s="499" t="s">
        <v>528</v>
      </c>
    </row>
    <row r="3" spans="1:4" ht="18" customHeight="1" x14ac:dyDescent="0.2">
      <c r="A3" s="500" t="s">
        <v>196</v>
      </c>
      <c r="B3" s="446" t="s">
        <v>190</v>
      </c>
      <c r="C3" s="458">
        <v>1000</v>
      </c>
      <c r="D3" s="472">
        <v>1000</v>
      </c>
    </row>
    <row r="4" spans="1:4" ht="18" customHeight="1" x14ac:dyDescent="0.2">
      <c r="A4" s="340" t="s">
        <v>197</v>
      </c>
      <c r="B4" s="446" t="s">
        <v>335</v>
      </c>
      <c r="C4" s="483">
        <v>300</v>
      </c>
      <c r="D4" s="472">
        <f>300+102+73</f>
        <v>475</v>
      </c>
    </row>
    <row r="5" spans="1:4" ht="18" customHeight="1" x14ac:dyDescent="0.2">
      <c r="A5" s="340" t="s">
        <v>198</v>
      </c>
      <c r="B5" s="446" t="s">
        <v>543</v>
      </c>
      <c r="C5" s="483">
        <v>1000</v>
      </c>
      <c r="D5" s="472">
        <f>1000-636</f>
        <v>364</v>
      </c>
    </row>
    <row r="6" spans="1:4" ht="18" customHeight="1" x14ac:dyDescent="0.2">
      <c r="A6" s="340" t="s">
        <v>580</v>
      </c>
      <c r="B6" s="446" t="s">
        <v>581</v>
      </c>
      <c r="C6" s="483"/>
      <c r="D6" s="472">
        <v>500</v>
      </c>
    </row>
    <row r="7" spans="1:4" ht="18" customHeight="1" x14ac:dyDescent="0.2">
      <c r="A7" s="340" t="s">
        <v>199</v>
      </c>
      <c r="B7" s="446" t="s">
        <v>456</v>
      </c>
      <c r="C7" s="483">
        <v>40000</v>
      </c>
      <c r="D7" s="472">
        <f>40000-1400-120-2212-120</f>
        <v>36148</v>
      </c>
    </row>
    <row r="8" spans="1:4" ht="18" customHeight="1" x14ac:dyDescent="0.2">
      <c r="A8" s="340" t="s">
        <v>213</v>
      </c>
      <c r="B8" s="446" t="s">
        <v>20</v>
      </c>
      <c r="C8" s="483">
        <v>40000</v>
      </c>
      <c r="D8" s="472">
        <v>40000</v>
      </c>
    </row>
    <row r="9" spans="1:4" ht="18" customHeight="1" x14ac:dyDescent="0.2">
      <c r="A9" s="340" t="s">
        <v>214</v>
      </c>
      <c r="B9" s="446" t="s">
        <v>291</v>
      </c>
      <c r="C9" s="483">
        <v>5000</v>
      </c>
      <c r="D9" s="472">
        <v>5000</v>
      </c>
    </row>
    <row r="10" spans="1:4" ht="18" customHeight="1" x14ac:dyDescent="0.2">
      <c r="A10" s="340" t="s">
        <v>215</v>
      </c>
      <c r="B10" s="446" t="s">
        <v>430</v>
      </c>
      <c r="C10" s="483">
        <v>3000</v>
      </c>
      <c r="D10" s="472">
        <f>3000-904</f>
        <v>2096</v>
      </c>
    </row>
    <row r="11" spans="1:4" ht="18" customHeight="1" x14ac:dyDescent="0.2">
      <c r="A11" s="340" t="s">
        <v>217</v>
      </c>
      <c r="B11" s="446" t="s">
        <v>83</v>
      </c>
      <c r="C11" s="483">
        <v>20000</v>
      </c>
      <c r="D11" s="472">
        <f>20000+98+27+20+3-1512-600</f>
        <v>18036</v>
      </c>
    </row>
    <row r="12" spans="1:4" ht="21" customHeight="1" x14ac:dyDescent="0.2">
      <c r="A12" s="340" t="s">
        <v>218</v>
      </c>
      <c r="B12" s="446" t="s">
        <v>23</v>
      </c>
      <c r="C12" s="483">
        <f>6000-1500</f>
        <v>4500</v>
      </c>
      <c r="D12" s="472">
        <f>4500+407</f>
        <v>4907</v>
      </c>
    </row>
    <row r="13" spans="1:4" ht="21" customHeight="1" x14ac:dyDescent="0.2">
      <c r="A13" s="340" t="s">
        <v>219</v>
      </c>
      <c r="B13" s="446" t="s">
        <v>509</v>
      </c>
      <c r="C13" s="483">
        <v>2000</v>
      </c>
      <c r="D13" s="472">
        <v>2000</v>
      </c>
    </row>
    <row r="14" spans="1:4" ht="18" customHeight="1" x14ac:dyDescent="0.2">
      <c r="A14" s="340" t="s">
        <v>220</v>
      </c>
      <c r="B14" s="446" t="s">
        <v>363</v>
      </c>
      <c r="C14" s="483">
        <v>1000</v>
      </c>
      <c r="D14" s="472">
        <v>1000</v>
      </c>
    </row>
    <row r="15" spans="1:4" ht="18" customHeight="1" x14ac:dyDescent="0.2">
      <c r="A15" s="340" t="s">
        <v>221</v>
      </c>
      <c r="B15" s="446" t="s">
        <v>272</v>
      </c>
      <c r="C15" s="483">
        <v>7000</v>
      </c>
      <c r="D15" s="472">
        <f>7000-100-150</f>
        <v>6750</v>
      </c>
    </row>
    <row r="16" spans="1:4" ht="18" customHeight="1" x14ac:dyDescent="0.2">
      <c r="A16" s="340" t="s">
        <v>222</v>
      </c>
      <c r="B16" s="446" t="s">
        <v>545</v>
      </c>
      <c r="C16" s="501">
        <v>10000</v>
      </c>
      <c r="D16" s="502">
        <v>10000</v>
      </c>
    </row>
    <row r="17" spans="1:4" ht="18" customHeight="1" x14ac:dyDescent="0.2">
      <c r="A17" s="340" t="s">
        <v>223</v>
      </c>
      <c r="B17" s="503" t="s">
        <v>435</v>
      </c>
      <c r="C17" s="501">
        <v>5000</v>
      </c>
      <c r="D17" s="502">
        <f>5000-5000</f>
        <v>0</v>
      </c>
    </row>
    <row r="18" spans="1:4" ht="18" customHeight="1" x14ac:dyDescent="0.2">
      <c r="A18" s="340" t="s">
        <v>224</v>
      </c>
      <c r="B18" s="58" t="s">
        <v>478</v>
      </c>
      <c r="C18" s="501">
        <v>15347</v>
      </c>
      <c r="D18" s="502">
        <v>15347</v>
      </c>
    </row>
    <row r="19" spans="1:4" ht="18" customHeight="1" x14ac:dyDescent="0.2">
      <c r="A19" s="340" t="s">
        <v>225</v>
      </c>
      <c r="B19" s="446" t="s">
        <v>283</v>
      </c>
      <c r="C19" s="504">
        <v>1000</v>
      </c>
      <c r="D19" s="502">
        <f>1000-1000</f>
        <v>0</v>
      </c>
    </row>
    <row r="20" spans="1:4" ht="18" customHeight="1" x14ac:dyDescent="0.2">
      <c r="A20" s="340" t="s">
        <v>226</v>
      </c>
      <c r="B20" s="446" t="s">
        <v>570</v>
      </c>
      <c r="C20" s="504"/>
      <c r="D20" s="502">
        <f>1437+130</f>
        <v>1567</v>
      </c>
    </row>
    <row r="21" spans="1:4" ht="18" customHeight="1" x14ac:dyDescent="0.2">
      <c r="A21" s="340" t="s">
        <v>227</v>
      </c>
      <c r="B21" s="446" t="s">
        <v>542</v>
      </c>
      <c r="C21" s="504"/>
      <c r="D21" s="502">
        <f>66772+3048+1412</f>
        <v>71232</v>
      </c>
    </row>
    <row r="22" spans="1:4" ht="18" customHeight="1" x14ac:dyDescent="0.2">
      <c r="A22" s="364" t="s">
        <v>228</v>
      </c>
      <c r="B22" s="446" t="s">
        <v>578</v>
      </c>
      <c r="C22" s="504"/>
      <c r="D22" s="502">
        <f>125230+5000+108772</f>
        <v>239002</v>
      </c>
    </row>
    <row r="23" spans="1:4" ht="18" customHeight="1" x14ac:dyDescent="0.2">
      <c r="A23" s="364" t="s">
        <v>229</v>
      </c>
      <c r="B23" s="446" t="s">
        <v>546</v>
      </c>
      <c r="C23" s="504"/>
      <c r="D23" s="502">
        <v>3579</v>
      </c>
    </row>
    <row r="24" spans="1:4" ht="18" customHeight="1" x14ac:dyDescent="0.2">
      <c r="A24" s="364" t="s">
        <v>230</v>
      </c>
      <c r="B24" s="446" t="s">
        <v>576</v>
      </c>
      <c r="C24" s="504"/>
      <c r="D24" s="502">
        <f>3361+7500</f>
        <v>10861</v>
      </c>
    </row>
    <row r="25" spans="1:4" ht="18" customHeight="1" x14ac:dyDescent="0.2">
      <c r="A25" s="364" t="s">
        <v>236</v>
      </c>
      <c r="B25" s="446" t="s">
        <v>552</v>
      </c>
      <c r="C25" s="504"/>
      <c r="D25" s="502">
        <v>405</v>
      </c>
    </row>
    <row r="26" spans="1:4" ht="18" customHeight="1" x14ac:dyDescent="0.2">
      <c r="A26" s="364" t="s">
        <v>237</v>
      </c>
      <c r="B26" s="446" t="s">
        <v>553</v>
      </c>
      <c r="C26" s="504"/>
      <c r="D26" s="502">
        <f>3000+7500+5303-3000-7500-5303</f>
        <v>0</v>
      </c>
    </row>
    <row r="27" spans="1:4" ht="18" customHeight="1" x14ac:dyDescent="0.2">
      <c r="A27" s="364" t="s">
        <v>238</v>
      </c>
      <c r="B27" s="446" t="s">
        <v>554</v>
      </c>
      <c r="C27" s="504"/>
      <c r="D27" s="502">
        <v>1000</v>
      </c>
    </row>
    <row r="28" spans="1:4" ht="18" customHeight="1" x14ac:dyDescent="0.2">
      <c r="A28" s="364" t="s">
        <v>239</v>
      </c>
      <c r="B28" s="446" t="s">
        <v>555</v>
      </c>
      <c r="C28" s="504"/>
      <c r="D28" s="502">
        <v>998</v>
      </c>
    </row>
    <row r="29" spans="1:4" ht="18" customHeight="1" x14ac:dyDescent="0.2">
      <c r="A29" s="364" t="s">
        <v>240</v>
      </c>
      <c r="B29" s="446" t="s">
        <v>556</v>
      </c>
      <c r="C29" s="504"/>
      <c r="D29" s="502">
        <v>1500</v>
      </c>
    </row>
    <row r="30" spans="1:4" ht="18" customHeight="1" x14ac:dyDescent="0.2">
      <c r="A30" s="364" t="s">
        <v>241</v>
      </c>
      <c r="B30" s="446" t="s">
        <v>559</v>
      </c>
      <c r="C30" s="504"/>
      <c r="D30" s="502">
        <f>12497+250+29</f>
        <v>12776</v>
      </c>
    </row>
    <row r="31" spans="1:4" ht="18" customHeight="1" x14ac:dyDescent="0.2">
      <c r="A31" s="364" t="s">
        <v>242</v>
      </c>
      <c r="B31" s="446" t="s">
        <v>588</v>
      </c>
      <c r="C31" s="504"/>
      <c r="D31" s="502">
        <f>3000+350</f>
        <v>3350</v>
      </c>
    </row>
    <row r="32" spans="1:4" ht="18" customHeight="1" x14ac:dyDescent="0.2">
      <c r="A32" s="364" t="s">
        <v>243</v>
      </c>
      <c r="B32" s="446" t="s">
        <v>569</v>
      </c>
      <c r="C32" s="504"/>
      <c r="D32" s="502">
        <f>3500+225</f>
        <v>3725</v>
      </c>
    </row>
    <row r="33" spans="1:4" ht="18" customHeight="1" x14ac:dyDescent="0.2">
      <c r="A33" s="364" t="s">
        <v>244</v>
      </c>
      <c r="B33" s="446" t="s">
        <v>589</v>
      </c>
      <c r="C33" s="504"/>
      <c r="D33" s="502">
        <f>430+120</f>
        <v>550</v>
      </c>
    </row>
    <row r="34" spans="1:4" ht="18" customHeight="1" x14ac:dyDescent="0.2">
      <c r="A34" s="364" t="s">
        <v>245</v>
      </c>
      <c r="B34" s="446" t="s">
        <v>587</v>
      </c>
      <c r="C34" s="504"/>
      <c r="D34" s="502">
        <f>50670+22102-61557+27549+20362</f>
        <v>59126</v>
      </c>
    </row>
    <row r="35" spans="1:4" ht="18" customHeight="1" thickBot="1" x14ac:dyDescent="0.25">
      <c r="A35" s="364"/>
      <c r="B35" s="505"/>
      <c r="C35" s="506"/>
      <c r="D35" s="507"/>
    </row>
    <row r="36" spans="1:4" s="1" customFormat="1" ht="27.75" customHeight="1" thickBot="1" x14ac:dyDescent="0.25">
      <c r="A36" s="484"/>
      <c r="B36" s="508" t="s">
        <v>134</v>
      </c>
      <c r="C36" s="509">
        <f>SUM(C3:C35)</f>
        <v>156147</v>
      </c>
      <c r="D36" s="510">
        <f>SUM(D3:D35)</f>
        <v>553294</v>
      </c>
    </row>
    <row r="37" spans="1:4" ht="24.75" customHeight="1" x14ac:dyDescent="0.2">
      <c r="A37" s="500"/>
      <c r="B37" s="70" t="s">
        <v>133</v>
      </c>
      <c r="C37" s="494"/>
      <c r="D37" s="511"/>
    </row>
    <row r="38" spans="1:4" ht="18" customHeight="1" x14ac:dyDescent="0.2">
      <c r="A38" s="340" t="s">
        <v>206</v>
      </c>
      <c r="B38" s="512" t="s">
        <v>11</v>
      </c>
      <c r="C38" s="513">
        <v>900</v>
      </c>
      <c r="D38" s="514">
        <v>900</v>
      </c>
    </row>
    <row r="39" spans="1:4" ht="18" customHeight="1" x14ac:dyDescent="0.2">
      <c r="A39" s="340"/>
      <c r="B39" s="512"/>
      <c r="C39" s="513"/>
      <c r="D39" s="514"/>
    </row>
    <row r="40" spans="1:4" ht="18" customHeight="1" thickBot="1" x14ac:dyDescent="0.25">
      <c r="A40" s="495"/>
      <c r="B40" s="515"/>
      <c r="C40" s="516"/>
      <c r="D40" s="517"/>
    </row>
    <row r="41" spans="1:4" ht="18" customHeight="1" thickBot="1" x14ac:dyDescent="0.25">
      <c r="A41" s="484"/>
      <c r="B41" s="518" t="s">
        <v>135</v>
      </c>
      <c r="C41" s="519">
        <f>SUM(C38:C40)</f>
        <v>900</v>
      </c>
      <c r="D41" s="520">
        <f>SUM(D38:D40)</f>
        <v>900</v>
      </c>
    </row>
    <row r="42" spans="1:4" s="1" customFormat="1" ht="21" customHeight="1" thickBot="1" x14ac:dyDescent="0.25">
      <c r="A42" s="496"/>
      <c r="B42" s="65"/>
      <c r="C42" s="497"/>
      <c r="D42" s="521"/>
    </row>
    <row r="43" spans="1:4" ht="13.5" thickTop="1" x14ac:dyDescent="0.2"/>
  </sheetData>
  <mergeCells count="3">
    <mergeCell ref="C1:D1"/>
    <mergeCell ref="B1:B2"/>
    <mergeCell ref="A1:A2"/>
  </mergeCells>
  <phoneticPr fontId="0" type="noConversion"/>
  <printOptions horizontalCentered="1"/>
  <pageMargins left="0.26" right="0.31" top="1.1399999999999999" bottom="0.81" header="0.46" footer="0.54"/>
  <pageSetup paperSize="8" orientation="portrait" r:id="rId1"/>
  <headerFooter alignWithMargins="0">
    <oddHeader>&amp;C&amp;"Times New Roman CE,Félkövér"&amp;18Külön keretek&amp;"Times New Roman CE,Normál"
&amp;11/ ezer Ft /&amp;R&amp;"Times New Roman,Normál"&amp;12 12. sz. 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D48"/>
  <sheetViews>
    <sheetView topLeftCell="A22" zoomScale="80" zoomScaleNormal="80" workbookViewId="0">
      <selection sqref="A1:D47"/>
    </sheetView>
  </sheetViews>
  <sheetFormatPr defaultRowHeight="12.75" x14ac:dyDescent="0.2"/>
  <cols>
    <col min="1" max="1" width="8" style="55" customWidth="1"/>
    <col min="2" max="2" width="59" customWidth="1"/>
    <col min="3" max="3" width="12.7109375" customWidth="1"/>
    <col min="4" max="4" width="12.7109375" style="5" customWidth="1"/>
  </cols>
  <sheetData>
    <row r="1" spans="1:4" ht="13.5" customHeight="1" thickTop="1" x14ac:dyDescent="0.2">
      <c r="A1" s="591" t="s">
        <v>181</v>
      </c>
      <c r="B1" s="582" t="s">
        <v>56</v>
      </c>
      <c r="C1" s="631" t="s">
        <v>93</v>
      </c>
      <c r="D1" s="616"/>
    </row>
    <row r="2" spans="1:4" ht="32.25" customHeight="1" thickBot="1" x14ac:dyDescent="0.25">
      <c r="A2" s="597"/>
      <c r="B2" s="630"/>
      <c r="C2" s="498" t="s">
        <v>527</v>
      </c>
      <c r="D2" s="499" t="s">
        <v>528</v>
      </c>
    </row>
    <row r="3" spans="1:4" s="1" customFormat="1" ht="18" customHeight="1" x14ac:dyDescent="0.2">
      <c r="A3" s="226"/>
      <c r="B3" s="522" t="s">
        <v>35</v>
      </c>
      <c r="C3" s="529"/>
      <c r="D3" s="530"/>
    </row>
    <row r="4" spans="1:4" s="1" customFormat="1" ht="23.1" customHeight="1" x14ac:dyDescent="0.2">
      <c r="A4" s="340" t="s">
        <v>196</v>
      </c>
      <c r="B4" s="523" t="s">
        <v>351</v>
      </c>
      <c r="C4" s="531">
        <v>1905</v>
      </c>
      <c r="D4" s="532">
        <v>5715</v>
      </c>
    </row>
    <row r="5" spans="1:4" s="1" customFormat="1" ht="23.1" customHeight="1" x14ac:dyDescent="0.2">
      <c r="A5" s="340" t="s">
        <v>197</v>
      </c>
      <c r="B5" s="523" t="s">
        <v>352</v>
      </c>
      <c r="C5" s="531">
        <v>5080</v>
      </c>
      <c r="D5" s="532">
        <v>5080</v>
      </c>
    </row>
    <row r="6" spans="1:4" s="1" customFormat="1" ht="23.1" customHeight="1" x14ac:dyDescent="0.2">
      <c r="A6" s="340" t="s">
        <v>562</v>
      </c>
      <c r="B6" s="523" t="s">
        <v>563</v>
      </c>
      <c r="C6" s="531"/>
      <c r="D6" s="532">
        <v>18669</v>
      </c>
    </row>
    <row r="7" spans="1:4" s="1" customFormat="1" ht="23.1" customHeight="1" x14ac:dyDescent="0.2">
      <c r="A7" s="340" t="s">
        <v>198</v>
      </c>
      <c r="B7" s="523" t="s">
        <v>347</v>
      </c>
      <c r="C7" s="531">
        <v>1067323</v>
      </c>
      <c r="D7" s="532">
        <v>1067323</v>
      </c>
    </row>
    <row r="8" spans="1:4" s="1" customFormat="1" ht="23.1" customHeight="1" x14ac:dyDescent="0.2">
      <c r="A8" s="340" t="s">
        <v>199</v>
      </c>
      <c r="B8" s="523" t="s">
        <v>377</v>
      </c>
      <c r="C8" s="531">
        <v>30000</v>
      </c>
      <c r="D8" s="532">
        <f>30000-192-4971</f>
        <v>24837</v>
      </c>
    </row>
    <row r="9" spans="1:4" s="1" customFormat="1" ht="23.1" customHeight="1" x14ac:dyDescent="0.2">
      <c r="A9" s="340" t="s">
        <v>213</v>
      </c>
      <c r="B9" s="523" t="s">
        <v>479</v>
      </c>
      <c r="C9" s="531">
        <v>100</v>
      </c>
      <c r="D9" s="532">
        <v>100</v>
      </c>
    </row>
    <row r="10" spans="1:4" s="1" customFormat="1" ht="23.1" customHeight="1" x14ac:dyDescent="0.2">
      <c r="A10" s="340" t="s">
        <v>214</v>
      </c>
      <c r="B10" s="523" t="s">
        <v>436</v>
      </c>
      <c r="C10" s="531">
        <v>289500</v>
      </c>
      <c r="D10" s="532">
        <v>289500</v>
      </c>
    </row>
    <row r="11" spans="1:4" s="1" customFormat="1" ht="23.1" customHeight="1" x14ac:dyDescent="0.2">
      <c r="A11" s="340" t="s">
        <v>215</v>
      </c>
      <c r="B11" s="523" t="s">
        <v>431</v>
      </c>
      <c r="C11" s="531">
        <v>1100</v>
      </c>
      <c r="D11" s="532">
        <v>1100</v>
      </c>
    </row>
    <row r="12" spans="1:4" s="1" customFormat="1" ht="23.1" customHeight="1" x14ac:dyDescent="0.2">
      <c r="A12" s="340" t="s">
        <v>217</v>
      </c>
      <c r="B12" s="58" t="s">
        <v>480</v>
      </c>
      <c r="C12" s="531">
        <v>118003</v>
      </c>
      <c r="D12" s="532">
        <f>118003+4500</f>
        <v>122503</v>
      </c>
    </row>
    <row r="13" spans="1:4" s="1" customFormat="1" ht="23.1" customHeight="1" x14ac:dyDescent="0.2">
      <c r="A13" s="340" t="s">
        <v>218</v>
      </c>
      <c r="B13" s="523" t="s">
        <v>550</v>
      </c>
      <c r="C13" s="531">
        <v>202000</v>
      </c>
      <c r="D13" s="532">
        <f>202000+1397+457+762+1962+7000</f>
        <v>213578</v>
      </c>
    </row>
    <row r="14" spans="1:4" s="1" customFormat="1" ht="23.1" customHeight="1" x14ac:dyDescent="0.2">
      <c r="A14" s="340" t="s">
        <v>219</v>
      </c>
      <c r="B14" s="523" t="s">
        <v>520</v>
      </c>
      <c r="C14" s="531">
        <v>102677</v>
      </c>
      <c r="D14" s="532">
        <f>102677+480+1207-5012-29988</f>
        <v>69364</v>
      </c>
    </row>
    <row r="15" spans="1:4" s="1" customFormat="1" ht="28.5" customHeight="1" x14ac:dyDescent="0.2">
      <c r="A15" s="340" t="s">
        <v>220</v>
      </c>
      <c r="B15" s="449" t="s">
        <v>481</v>
      </c>
      <c r="C15" s="531">
        <v>200</v>
      </c>
      <c r="D15" s="532">
        <f>200+250+250+7587+22785+1143+3306</f>
        <v>35521</v>
      </c>
    </row>
    <row r="16" spans="1:4" s="1" customFormat="1" ht="23.1" customHeight="1" x14ac:dyDescent="0.2">
      <c r="A16" s="340" t="s">
        <v>221</v>
      </c>
      <c r="B16" s="523" t="s">
        <v>438</v>
      </c>
      <c r="C16" s="531">
        <v>10195</v>
      </c>
      <c r="D16" s="532">
        <v>10195</v>
      </c>
    </row>
    <row r="17" spans="1:4" s="1" customFormat="1" ht="28.5" customHeight="1" x14ac:dyDescent="0.2">
      <c r="A17" s="340" t="s">
        <v>222</v>
      </c>
      <c r="B17" s="449" t="s">
        <v>461</v>
      </c>
      <c r="C17" s="531">
        <v>503588</v>
      </c>
      <c r="D17" s="532">
        <f>503588-263921-71561</f>
        <v>168106</v>
      </c>
    </row>
    <row r="18" spans="1:4" s="1" customFormat="1" ht="28.5" customHeight="1" x14ac:dyDescent="0.2">
      <c r="A18" s="340" t="s">
        <v>597</v>
      </c>
      <c r="B18" s="449" t="s">
        <v>596</v>
      </c>
      <c r="C18" s="531"/>
      <c r="D18" s="532">
        <v>263921</v>
      </c>
    </row>
    <row r="19" spans="1:4" s="1" customFormat="1" ht="23.1" customHeight="1" x14ac:dyDescent="0.2">
      <c r="A19" s="340" t="s">
        <v>223</v>
      </c>
      <c r="B19" s="523" t="s">
        <v>510</v>
      </c>
      <c r="C19" s="531">
        <v>10000</v>
      </c>
      <c r="D19" s="532">
        <v>10000</v>
      </c>
    </row>
    <row r="20" spans="1:4" s="1" customFormat="1" ht="23.1" customHeight="1" x14ac:dyDescent="0.2">
      <c r="A20" s="340" t="s">
        <v>224</v>
      </c>
      <c r="B20" s="523" t="s">
        <v>498</v>
      </c>
      <c r="C20" s="531">
        <v>31500</v>
      </c>
      <c r="D20" s="532">
        <v>31500</v>
      </c>
    </row>
    <row r="21" spans="1:4" s="1" customFormat="1" ht="23.1" customHeight="1" x14ac:dyDescent="0.2">
      <c r="A21" s="340" t="s">
        <v>225</v>
      </c>
      <c r="B21" s="449" t="s">
        <v>494</v>
      </c>
      <c r="C21" s="533">
        <v>500</v>
      </c>
      <c r="D21" s="534">
        <f>500+752</f>
        <v>1252</v>
      </c>
    </row>
    <row r="22" spans="1:4" s="1" customFormat="1" ht="27" customHeight="1" x14ac:dyDescent="0.2">
      <c r="A22" s="340" t="s">
        <v>226</v>
      </c>
      <c r="B22" s="449" t="s">
        <v>495</v>
      </c>
      <c r="C22" s="533">
        <v>3100</v>
      </c>
      <c r="D22" s="534">
        <v>3100</v>
      </c>
    </row>
    <row r="23" spans="1:4" s="1" customFormat="1" ht="27" customHeight="1" x14ac:dyDescent="0.2">
      <c r="A23" s="340" t="s">
        <v>227</v>
      </c>
      <c r="B23" s="449" t="s">
        <v>499</v>
      </c>
      <c r="C23" s="533">
        <v>27764</v>
      </c>
      <c r="D23" s="534">
        <f>27764+998-13882-13882</f>
        <v>998</v>
      </c>
    </row>
    <row r="24" spans="1:4" s="1" customFormat="1" ht="23.1" customHeight="1" x14ac:dyDescent="0.2">
      <c r="A24" s="340" t="s">
        <v>228</v>
      </c>
      <c r="B24" s="449" t="s">
        <v>497</v>
      </c>
      <c r="C24" s="533">
        <v>51221</v>
      </c>
      <c r="D24" s="534">
        <f>51221+19139</f>
        <v>70360</v>
      </c>
    </row>
    <row r="25" spans="1:4" s="1" customFormat="1" ht="23.1" customHeight="1" x14ac:dyDescent="0.2">
      <c r="A25" s="340" t="s">
        <v>229</v>
      </c>
      <c r="B25" s="524" t="s">
        <v>500</v>
      </c>
      <c r="C25" s="533">
        <v>2000</v>
      </c>
      <c r="D25" s="534">
        <f>2000-1780</f>
        <v>220</v>
      </c>
    </row>
    <row r="26" spans="1:4" s="1" customFormat="1" ht="23.1" customHeight="1" x14ac:dyDescent="0.2">
      <c r="A26" s="340" t="s">
        <v>230</v>
      </c>
      <c r="B26" s="363" t="s">
        <v>457</v>
      </c>
      <c r="C26" s="535">
        <v>5500</v>
      </c>
      <c r="D26" s="536">
        <f>5500+680</f>
        <v>6180</v>
      </c>
    </row>
    <row r="27" spans="1:4" s="1" customFormat="1" ht="23.1" customHeight="1" x14ac:dyDescent="0.2">
      <c r="A27" s="340" t="s">
        <v>236</v>
      </c>
      <c r="B27" s="503" t="s">
        <v>378</v>
      </c>
      <c r="C27" s="531">
        <v>500</v>
      </c>
      <c r="D27" s="532">
        <v>500</v>
      </c>
    </row>
    <row r="28" spans="1:4" s="1" customFormat="1" ht="23.1" customHeight="1" x14ac:dyDescent="0.2">
      <c r="A28" s="340" t="s">
        <v>237</v>
      </c>
      <c r="B28" s="523" t="s">
        <v>548</v>
      </c>
      <c r="C28" s="531"/>
      <c r="D28" s="532">
        <f>13449+140+800</f>
        <v>14389</v>
      </c>
    </row>
    <row r="29" spans="1:4" s="1" customFormat="1" ht="23.1" customHeight="1" x14ac:dyDescent="0.2">
      <c r="A29" s="340" t="s">
        <v>238</v>
      </c>
      <c r="B29" s="449" t="s">
        <v>549</v>
      </c>
      <c r="C29" s="531"/>
      <c r="D29" s="532">
        <f>550+5577+2413+1905</f>
        <v>10445</v>
      </c>
    </row>
    <row r="30" spans="1:4" s="1" customFormat="1" ht="23.1" customHeight="1" x14ac:dyDescent="0.2">
      <c r="A30" s="340" t="s">
        <v>239</v>
      </c>
      <c r="B30" s="523" t="s">
        <v>566</v>
      </c>
      <c r="C30" s="531"/>
      <c r="D30" s="532">
        <f>4145+279000</f>
        <v>283145</v>
      </c>
    </row>
    <row r="31" spans="1:4" s="1" customFormat="1" ht="23.1" customHeight="1" x14ac:dyDescent="0.2">
      <c r="A31" s="340" t="s">
        <v>240</v>
      </c>
      <c r="B31" s="523" t="s">
        <v>571</v>
      </c>
      <c r="C31" s="531"/>
      <c r="D31" s="532">
        <v>1800</v>
      </c>
    </row>
    <row r="32" spans="1:4" s="1" customFormat="1" ht="23.1" customHeight="1" x14ac:dyDescent="0.2">
      <c r="A32" s="340" t="s">
        <v>241</v>
      </c>
      <c r="B32" s="523" t="s">
        <v>572</v>
      </c>
      <c r="C32" s="531"/>
      <c r="D32" s="532">
        <v>3000</v>
      </c>
    </row>
    <row r="33" spans="1:4" s="1" customFormat="1" ht="23.1" customHeight="1" x14ac:dyDescent="0.2">
      <c r="A33" s="340" t="s">
        <v>242</v>
      </c>
      <c r="B33" s="523" t="s">
        <v>573</v>
      </c>
      <c r="C33" s="531"/>
      <c r="D33" s="532">
        <v>5000</v>
      </c>
    </row>
    <row r="34" spans="1:4" s="1" customFormat="1" ht="23.1" customHeight="1" x14ac:dyDescent="0.2">
      <c r="A34" s="340" t="s">
        <v>243</v>
      </c>
      <c r="B34" s="523" t="s">
        <v>575</v>
      </c>
      <c r="C34" s="531"/>
      <c r="D34" s="532">
        <v>5012</v>
      </c>
    </row>
    <row r="35" spans="1:4" s="1" customFormat="1" ht="23.1" customHeight="1" x14ac:dyDescent="0.2">
      <c r="A35" s="340" t="s">
        <v>244</v>
      </c>
      <c r="B35" s="523" t="s">
        <v>585</v>
      </c>
      <c r="C35" s="531"/>
      <c r="D35" s="532">
        <v>1000</v>
      </c>
    </row>
    <row r="36" spans="1:4" s="1" customFormat="1" ht="23.1" customHeight="1" x14ac:dyDescent="0.2">
      <c r="A36" s="340" t="s">
        <v>245</v>
      </c>
      <c r="B36" s="523" t="s">
        <v>586</v>
      </c>
      <c r="C36" s="531"/>
      <c r="D36" s="532">
        <v>15000</v>
      </c>
    </row>
    <row r="37" spans="1:4" s="1" customFormat="1" ht="23.1" customHeight="1" x14ac:dyDescent="0.2">
      <c r="A37" s="340" t="s">
        <v>246</v>
      </c>
      <c r="B37" s="523" t="s">
        <v>612</v>
      </c>
      <c r="C37" s="531"/>
      <c r="D37" s="532">
        <v>900</v>
      </c>
    </row>
    <row r="38" spans="1:4" s="1" customFormat="1" ht="23.1" customHeight="1" x14ac:dyDescent="0.2">
      <c r="A38" s="340" t="s">
        <v>247</v>
      </c>
      <c r="B38" s="363" t="s">
        <v>606</v>
      </c>
      <c r="C38" s="531"/>
      <c r="D38" s="532">
        <f>500000+3000</f>
        <v>503000</v>
      </c>
    </row>
    <row r="39" spans="1:4" s="1" customFormat="1" ht="23.1" customHeight="1" x14ac:dyDescent="0.2">
      <c r="A39" s="340" t="s">
        <v>248</v>
      </c>
      <c r="B39" s="363" t="s">
        <v>609</v>
      </c>
      <c r="C39" s="531"/>
      <c r="D39" s="532">
        <f>499803+7500</f>
        <v>507303</v>
      </c>
    </row>
    <row r="40" spans="1:4" s="1" customFormat="1" ht="23.1" customHeight="1" x14ac:dyDescent="0.2">
      <c r="A40" s="340"/>
      <c r="B40" s="523"/>
      <c r="C40" s="531"/>
      <c r="D40" s="532"/>
    </row>
    <row r="41" spans="1:4" s="1" customFormat="1" ht="20.25" customHeight="1" x14ac:dyDescent="0.2">
      <c r="A41" s="340"/>
      <c r="B41" s="449"/>
      <c r="C41" s="531"/>
      <c r="D41" s="532"/>
    </row>
    <row r="42" spans="1:4" s="1" customFormat="1" ht="30.75" customHeight="1" thickBot="1" x14ac:dyDescent="0.25">
      <c r="A42" s="495"/>
      <c r="B42" s="525" t="s">
        <v>134</v>
      </c>
      <c r="C42" s="537">
        <f>SUM(C4:C41)</f>
        <v>2463756</v>
      </c>
      <c r="D42" s="538">
        <f>SUM(D4:D41)</f>
        <v>3769616</v>
      </c>
    </row>
    <row r="43" spans="1:4" s="1" customFormat="1" ht="23.1" customHeight="1" x14ac:dyDescent="0.2">
      <c r="A43" s="539"/>
      <c r="B43" s="59"/>
      <c r="C43" s="540"/>
      <c r="D43" s="541"/>
    </row>
    <row r="44" spans="1:4" s="1" customFormat="1" ht="23.1" customHeight="1" x14ac:dyDescent="0.2">
      <c r="A44" s="340"/>
      <c r="B44" s="526"/>
      <c r="C44" s="542"/>
      <c r="D44" s="543"/>
    </row>
    <row r="45" spans="1:4" s="1" customFormat="1" ht="23.1" customHeight="1" x14ac:dyDescent="0.2">
      <c r="A45" s="340"/>
      <c r="B45" s="59"/>
      <c r="C45" s="540"/>
      <c r="D45" s="541"/>
    </row>
    <row r="46" spans="1:4" s="1" customFormat="1" ht="27" customHeight="1" thickBot="1" x14ac:dyDescent="0.25">
      <c r="A46" s="364"/>
      <c r="B46" s="527" t="s">
        <v>135</v>
      </c>
      <c r="C46" s="544">
        <f>SUM(C43:C45)</f>
        <v>0</v>
      </c>
      <c r="D46" s="545">
        <f>SUM(D43:D45)</f>
        <v>0</v>
      </c>
    </row>
    <row r="47" spans="1:4" s="1" customFormat="1" ht="27" customHeight="1" thickBot="1" x14ac:dyDescent="0.25">
      <c r="A47" s="230"/>
      <c r="B47" s="528" t="s">
        <v>136</v>
      </c>
      <c r="C47" s="546">
        <f>C42+C46</f>
        <v>2463756</v>
      </c>
      <c r="D47" s="547">
        <f>D42+D46</f>
        <v>3769616</v>
      </c>
    </row>
    <row r="48" spans="1:4" ht="13.5" thickTop="1" x14ac:dyDescent="0.2"/>
  </sheetData>
  <mergeCells count="3">
    <mergeCell ref="B1:B2"/>
    <mergeCell ref="C1:D1"/>
    <mergeCell ref="A1:A2"/>
  </mergeCells>
  <phoneticPr fontId="0" type="noConversion"/>
  <printOptions horizontalCentered="1"/>
  <pageMargins left="0.15748031496062992" right="0.15748031496062992" top="1.4240625" bottom="0.47244094488188981" header="0.78740157480314965" footer="0.27559055118110237"/>
  <pageSetup paperSize="8" scale="92" orientation="portrait" r:id="rId1"/>
  <headerFooter alignWithMargins="0">
    <oddHeader>&amp;L
&amp;C&amp;"Times New Roman CE,Félkövér"&amp;16Beruházások&amp;"Times New Roman CE,Normál"&amp;18
&amp;11/ezer Ft/&amp;R&amp;"Times New Roman,Normál"&amp;12 13. sz. melléklet</oddHeader>
    <oddFooter xml:space="preserve">&amp;R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D26"/>
  <sheetViews>
    <sheetView topLeftCell="A10" zoomScaleNormal="100" workbookViewId="0">
      <selection sqref="A1:D25"/>
    </sheetView>
  </sheetViews>
  <sheetFormatPr defaultRowHeight="12.75" x14ac:dyDescent="0.2"/>
  <cols>
    <col min="1" max="1" width="8" style="55" customWidth="1"/>
    <col min="2" max="2" width="58.28515625" customWidth="1"/>
    <col min="3" max="4" width="12.7109375" customWidth="1"/>
  </cols>
  <sheetData>
    <row r="1" spans="1:4" ht="13.5" customHeight="1" thickTop="1" x14ac:dyDescent="0.2">
      <c r="A1" s="610" t="s">
        <v>181</v>
      </c>
      <c r="B1" s="582" t="s">
        <v>56</v>
      </c>
      <c r="C1" s="631" t="s">
        <v>93</v>
      </c>
      <c r="D1" s="616"/>
    </row>
    <row r="2" spans="1:4" ht="32.25" customHeight="1" thickBot="1" x14ac:dyDescent="0.25">
      <c r="A2" s="611"/>
      <c r="B2" s="633"/>
      <c r="C2" s="498" t="s">
        <v>527</v>
      </c>
      <c r="D2" s="499" t="s">
        <v>528</v>
      </c>
    </row>
    <row r="3" spans="1:4" s="1" customFormat="1" ht="25.5" customHeight="1" x14ac:dyDescent="0.2">
      <c r="A3" s="226"/>
      <c r="B3" s="548" t="s">
        <v>34</v>
      </c>
      <c r="C3" s="552"/>
      <c r="D3" s="553"/>
    </row>
    <row r="4" spans="1:4" s="1" customFormat="1" ht="23.1" customHeight="1" x14ac:dyDescent="0.2">
      <c r="A4" s="340" t="s">
        <v>196</v>
      </c>
      <c r="B4" s="59" t="s">
        <v>318</v>
      </c>
      <c r="C4" s="554">
        <v>50000</v>
      </c>
      <c r="D4" s="555">
        <f>50000+4188+572+1300+2837+10884+350+1+2306+3831</f>
        <v>76269</v>
      </c>
    </row>
    <row r="5" spans="1:4" s="1" customFormat="1" ht="23.1" customHeight="1" x14ac:dyDescent="0.2">
      <c r="A5" s="340" t="s">
        <v>197</v>
      </c>
      <c r="B5" s="549" t="s">
        <v>191</v>
      </c>
      <c r="C5" s="556">
        <v>60000</v>
      </c>
      <c r="D5" s="557">
        <f>60000-13673-19139-8604-4900-9996</f>
        <v>3688</v>
      </c>
    </row>
    <row r="6" spans="1:4" s="1" customFormat="1" ht="23.1" customHeight="1" x14ac:dyDescent="0.2">
      <c r="A6" s="340" t="s">
        <v>198</v>
      </c>
      <c r="B6" s="549" t="s">
        <v>370</v>
      </c>
      <c r="C6" s="556">
        <v>12065</v>
      </c>
      <c r="D6" s="557">
        <f>31270-12192</f>
        <v>19078</v>
      </c>
    </row>
    <row r="7" spans="1:4" s="1" customFormat="1" ht="23.1" customHeight="1" x14ac:dyDescent="0.2">
      <c r="A7" s="340" t="s">
        <v>199</v>
      </c>
      <c r="B7" s="549" t="s">
        <v>582</v>
      </c>
      <c r="C7" s="556">
        <v>15240</v>
      </c>
      <c r="D7" s="557">
        <f>24785+12192</f>
        <v>36977</v>
      </c>
    </row>
    <row r="8" spans="1:4" s="1" customFormat="1" ht="23.1" customHeight="1" x14ac:dyDescent="0.2">
      <c r="A8" s="340" t="s">
        <v>213</v>
      </c>
      <c r="B8" s="549" t="s">
        <v>372</v>
      </c>
      <c r="C8" s="558">
        <v>151819</v>
      </c>
      <c r="D8" s="559">
        <f>151819+762+975</f>
        <v>153556</v>
      </c>
    </row>
    <row r="9" spans="1:4" s="1" customFormat="1" ht="23.1" customHeight="1" x14ac:dyDescent="0.2">
      <c r="A9" s="340" t="s">
        <v>214</v>
      </c>
      <c r="B9" s="550" t="s">
        <v>482</v>
      </c>
      <c r="C9" s="560">
        <v>211.40700000000001</v>
      </c>
      <c r="D9" s="559">
        <v>211.40700000000001</v>
      </c>
    </row>
    <row r="10" spans="1:4" s="1" customFormat="1" ht="23.1" customHeight="1" x14ac:dyDescent="0.2">
      <c r="A10" s="364" t="s">
        <v>215</v>
      </c>
      <c r="B10" s="561" t="s">
        <v>493</v>
      </c>
      <c r="C10" s="529">
        <v>7500</v>
      </c>
      <c r="D10" s="507">
        <v>7500</v>
      </c>
    </row>
    <row r="11" spans="1:4" s="1" customFormat="1" ht="23.1" customHeight="1" x14ac:dyDescent="0.2">
      <c r="A11" s="364" t="s">
        <v>217</v>
      </c>
      <c r="B11" s="561" t="s">
        <v>505</v>
      </c>
      <c r="C11" s="529">
        <v>39750</v>
      </c>
      <c r="D11" s="507">
        <v>39750</v>
      </c>
    </row>
    <row r="12" spans="1:4" s="1" customFormat="1" ht="27.75" customHeight="1" x14ac:dyDescent="0.2">
      <c r="A12" s="364" t="s">
        <v>218</v>
      </c>
      <c r="B12" s="551" t="s">
        <v>511</v>
      </c>
      <c r="C12" s="529">
        <v>30000</v>
      </c>
      <c r="D12" s="507">
        <v>30000</v>
      </c>
    </row>
    <row r="13" spans="1:4" s="1" customFormat="1" ht="27.75" customHeight="1" x14ac:dyDescent="0.2">
      <c r="A13" s="364" t="s">
        <v>219</v>
      </c>
      <c r="B13" s="551" t="s">
        <v>506</v>
      </c>
      <c r="C13" s="529">
        <v>7000</v>
      </c>
      <c r="D13" s="507">
        <f>7000-1000</f>
        <v>6000</v>
      </c>
    </row>
    <row r="14" spans="1:4" s="1" customFormat="1" ht="23.1" customHeight="1" x14ac:dyDescent="0.2">
      <c r="A14" s="364" t="s">
        <v>220</v>
      </c>
      <c r="B14" s="562" t="s">
        <v>501</v>
      </c>
      <c r="C14" s="529">
        <v>2000</v>
      </c>
      <c r="D14" s="507">
        <f>2000-1000</f>
        <v>1000</v>
      </c>
    </row>
    <row r="15" spans="1:4" s="1" customFormat="1" ht="23.1" customHeight="1" x14ac:dyDescent="0.2">
      <c r="A15" s="364" t="s">
        <v>221</v>
      </c>
      <c r="B15" s="563" t="s">
        <v>519</v>
      </c>
      <c r="C15" s="529">
        <v>600</v>
      </c>
      <c r="D15" s="507">
        <v>600</v>
      </c>
    </row>
    <row r="16" spans="1:4" s="1" customFormat="1" ht="23.1" customHeight="1" x14ac:dyDescent="0.2">
      <c r="A16" s="340" t="s">
        <v>222</v>
      </c>
      <c r="B16" s="562" t="s">
        <v>544</v>
      </c>
      <c r="C16" s="564"/>
      <c r="D16" s="565">
        <v>4900</v>
      </c>
    </row>
    <row r="17" spans="1:4" s="1" customFormat="1" ht="23.1" customHeight="1" x14ac:dyDescent="0.2">
      <c r="A17" s="340" t="s">
        <v>223</v>
      </c>
      <c r="B17" s="561" t="s">
        <v>547</v>
      </c>
      <c r="C17" s="564"/>
      <c r="D17" s="565">
        <v>1826</v>
      </c>
    </row>
    <row r="18" spans="1:4" s="1" customFormat="1" ht="23.1" customHeight="1" x14ac:dyDescent="0.2">
      <c r="A18" s="340" t="s">
        <v>224</v>
      </c>
      <c r="B18" s="562" t="s">
        <v>551</v>
      </c>
      <c r="C18" s="564"/>
      <c r="D18" s="565">
        <v>920</v>
      </c>
    </row>
    <row r="19" spans="1:4" s="1" customFormat="1" ht="23.1" customHeight="1" x14ac:dyDescent="0.2">
      <c r="A19" s="340" t="s">
        <v>225</v>
      </c>
      <c r="B19" s="561" t="s">
        <v>564</v>
      </c>
      <c r="C19" s="564"/>
      <c r="D19" s="565">
        <v>5651</v>
      </c>
    </row>
    <row r="20" spans="1:4" s="1" customFormat="1" ht="23.1" customHeight="1" x14ac:dyDescent="0.2">
      <c r="A20" s="340" t="s">
        <v>226</v>
      </c>
      <c r="B20" s="561" t="s">
        <v>610</v>
      </c>
      <c r="C20" s="564"/>
      <c r="D20" s="565">
        <f>5308+300000</f>
        <v>305308</v>
      </c>
    </row>
    <row r="21" spans="1:4" s="1" customFormat="1" ht="23.1" customHeight="1" x14ac:dyDescent="0.2">
      <c r="A21" s="340" t="s">
        <v>227</v>
      </c>
      <c r="B21" s="561" t="s">
        <v>567</v>
      </c>
      <c r="C21" s="561"/>
      <c r="D21" s="565">
        <f>29988-10738</f>
        <v>19250</v>
      </c>
    </row>
    <row r="22" spans="1:4" s="1" customFormat="1" ht="23.1" customHeight="1" x14ac:dyDescent="0.2">
      <c r="A22" s="340" t="s">
        <v>228</v>
      </c>
      <c r="B22" s="561" t="s">
        <v>611</v>
      </c>
      <c r="C22" s="561"/>
      <c r="D22" s="565">
        <v>9996</v>
      </c>
    </row>
    <row r="23" spans="1:4" s="1" customFormat="1" ht="23.1" customHeight="1" x14ac:dyDescent="0.2">
      <c r="A23" s="340" t="s">
        <v>229</v>
      </c>
      <c r="B23" s="561" t="s">
        <v>607</v>
      </c>
      <c r="C23" s="561"/>
      <c r="D23" s="565">
        <f>53735+5303</f>
        <v>59038</v>
      </c>
    </row>
    <row r="24" spans="1:4" s="1" customFormat="1" ht="23.1" customHeight="1" thickBot="1" x14ac:dyDescent="0.25">
      <c r="A24" s="226"/>
      <c r="B24" s="76"/>
      <c r="C24" s="560"/>
      <c r="D24" s="566"/>
    </row>
    <row r="25" spans="1:4" s="1" customFormat="1" ht="34.5" customHeight="1" thickBot="1" x14ac:dyDescent="0.25">
      <c r="A25" s="230"/>
      <c r="B25" s="528" t="s">
        <v>137</v>
      </c>
      <c r="C25" s="567">
        <f>SUM(C4:C24)</f>
        <v>376185.40700000001</v>
      </c>
      <c r="D25" s="547">
        <f>SUM(D4:D24)</f>
        <v>781518.40700000001</v>
      </c>
    </row>
    <row r="26" spans="1:4" ht="13.5" thickTop="1" x14ac:dyDescent="0.2"/>
  </sheetData>
  <mergeCells count="3">
    <mergeCell ref="B1:B2"/>
    <mergeCell ref="C1:D1"/>
    <mergeCell ref="A1:A2"/>
  </mergeCells>
  <phoneticPr fontId="30" type="noConversion"/>
  <printOptions horizontalCentered="1"/>
  <pageMargins left="0.51181102362204722" right="0.23622047244094491" top="1.3779527559055118" bottom="0.98425196850393704" header="0.62992125984251968" footer="0.51181102362204722"/>
  <pageSetup paperSize="8" orientation="portrait" r:id="rId1"/>
  <headerFooter alignWithMargins="0">
    <oddHeader>&amp;C&amp;"Times New Roman,Félkövér"&amp;16Felújítások
&amp;"Times New Roman,Normál"&amp;12/ezer Ft/&amp;R&amp;"Times New Roman,Normál"&amp;12 14.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K27"/>
  <sheetViews>
    <sheetView zoomScaleNormal="100" workbookViewId="0">
      <selection sqref="A1:K26"/>
    </sheetView>
  </sheetViews>
  <sheetFormatPr defaultColWidth="9.140625" defaultRowHeight="12.75" x14ac:dyDescent="0.2"/>
  <cols>
    <col min="1" max="1" width="29.42578125" customWidth="1"/>
    <col min="2" max="2" width="8.28515625" customWidth="1"/>
    <col min="3" max="3" width="9.28515625" bestFit="1" customWidth="1"/>
    <col min="4" max="4" width="7.140625" customWidth="1"/>
    <col min="5" max="5" width="9.5703125" customWidth="1"/>
    <col min="6" max="6" width="10.5703125" customWidth="1"/>
    <col min="7" max="7" width="8" customWidth="1"/>
    <col min="8" max="8" width="9.28515625" bestFit="1" customWidth="1"/>
    <col min="9" max="9" width="7.85546875" customWidth="1"/>
    <col min="10" max="10" width="9" customWidth="1"/>
    <col min="11" max="11" width="10.7109375" customWidth="1"/>
  </cols>
  <sheetData>
    <row r="1" spans="1:11" ht="23.25" customHeight="1" thickTop="1" x14ac:dyDescent="0.2">
      <c r="A1" s="580" t="s">
        <v>56</v>
      </c>
      <c r="B1" s="167" t="s">
        <v>523</v>
      </c>
      <c r="C1" s="168"/>
      <c r="D1" s="168"/>
      <c r="E1" s="168"/>
      <c r="F1" s="169"/>
      <c r="G1" s="168" t="s">
        <v>524</v>
      </c>
      <c r="H1" s="168"/>
      <c r="I1" s="168"/>
      <c r="J1" s="168"/>
      <c r="K1" s="170"/>
    </row>
    <row r="2" spans="1:11" ht="29.25" customHeight="1" thickBot="1" x14ac:dyDescent="0.25">
      <c r="A2" s="581"/>
      <c r="B2" s="171" t="s">
        <v>57</v>
      </c>
      <c r="C2" s="172" t="s">
        <v>105</v>
      </c>
      <c r="D2" s="172" t="s">
        <v>58</v>
      </c>
      <c r="E2" s="172" t="s">
        <v>59</v>
      </c>
      <c r="F2" s="173" t="s">
        <v>53</v>
      </c>
      <c r="G2" s="172" t="s">
        <v>57</v>
      </c>
      <c r="H2" s="172" t="s">
        <v>105</v>
      </c>
      <c r="I2" s="172" t="s">
        <v>58</v>
      </c>
      <c r="J2" s="172" t="s">
        <v>59</v>
      </c>
      <c r="K2" s="174" t="s">
        <v>53</v>
      </c>
    </row>
    <row r="3" spans="1:11" s="49" customFormat="1" ht="27" customHeight="1" x14ac:dyDescent="0.2">
      <c r="A3" s="175" t="s">
        <v>27</v>
      </c>
      <c r="B3" s="47">
        <v>39000</v>
      </c>
      <c r="C3" s="48">
        <v>1022122</v>
      </c>
      <c r="D3" s="48"/>
      <c r="E3" s="145">
        <f>F3-B3-C3-D3</f>
        <v>36263</v>
      </c>
      <c r="F3" s="176">
        <f>'8a-Intézmények kiadása'!I3</f>
        <v>1097385</v>
      </c>
      <c r="G3" s="47">
        <v>39000</v>
      </c>
      <c r="H3" s="48">
        <v>1066191</v>
      </c>
      <c r="I3" s="177">
        <v>31678</v>
      </c>
      <c r="J3" s="145">
        <f>K3-H3-G3-I3</f>
        <v>63643</v>
      </c>
      <c r="K3" s="146">
        <f>'8a-Intézmények kiadása'!Q3</f>
        <v>1200512</v>
      </c>
    </row>
    <row r="4" spans="1:11" ht="18" customHeight="1" x14ac:dyDescent="0.2">
      <c r="A4" s="178" t="s">
        <v>174</v>
      </c>
      <c r="B4" s="45"/>
      <c r="C4" s="46"/>
      <c r="D4" s="46"/>
      <c r="E4" s="179">
        <f>F4-B4-D4-C4</f>
        <v>0</v>
      </c>
      <c r="F4" s="152">
        <f>'8a-Intézmények kiadása'!I4</f>
        <v>0</v>
      </c>
      <c r="G4" s="45"/>
      <c r="H4" s="46"/>
      <c r="I4" s="180"/>
      <c r="J4" s="179"/>
      <c r="K4" s="153">
        <f>'8a-Intézmények kiadása'!Q4</f>
        <v>0</v>
      </c>
    </row>
    <row r="5" spans="1:11" ht="18" customHeight="1" x14ac:dyDescent="0.2">
      <c r="A5" s="178" t="s">
        <v>177</v>
      </c>
      <c r="B5" s="62">
        <f>B3-B4</f>
        <v>39000</v>
      </c>
      <c r="C5" s="46">
        <f>C3-C4</f>
        <v>1022122</v>
      </c>
      <c r="D5" s="180"/>
      <c r="E5" s="179">
        <f>F5-B5-D5-C5</f>
        <v>36263</v>
      </c>
      <c r="F5" s="152">
        <f>'8a-Intézmények kiadása'!I5</f>
        <v>1097385</v>
      </c>
      <c r="G5" s="45">
        <f>G3-G4</f>
        <v>39000</v>
      </c>
      <c r="H5" s="46">
        <f>H3-H4</f>
        <v>1066191</v>
      </c>
      <c r="I5" s="181"/>
      <c r="J5" s="179">
        <f>K5-G5-I5-H5</f>
        <v>95321</v>
      </c>
      <c r="K5" s="153">
        <f>'8a-Intézmények kiadása'!Q5</f>
        <v>1200512</v>
      </c>
    </row>
    <row r="6" spans="1:11" s="49" customFormat="1" ht="27" customHeight="1" x14ac:dyDescent="0.2">
      <c r="A6" s="175" t="s">
        <v>284</v>
      </c>
      <c r="B6" s="182"/>
      <c r="C6" s="183"/>
      <c r="D6" s="177"/>
      <c r="E6" s="145">
        <f>F6-B6-D6</f>
        <v>686045</v>
      </c>
      <c r="F6" s="176">
        <f>'8a-Intézmények kiadása'!I6</f>
        <v>686045</v>
      </c>
      <c r="G6" s="184">
        <v>407</v>
      </c>
      <c r="H6" s="183"/>
      <c r="I6" s="177">
        <v>6496</v>
      </c>
      <c r="J6" s="145">
        <f>K6-G6-H6-I6</f>
        <v>717798</v>
      </c>
      <c r="K6" s="146">
        <f>'8a-Intézmények kiadása'!Q6</f>
        <v>724701</v>
      </c>
    </row>
    <row r="7" spans="1:11" ht="18" customHeight="1" x14ac:dyDescent="0.2">
      <c r="A7" s="178" t="s">
        <v>174</v>
      </c>
      <c r="B7" s="185"/>
      <c r="C7" s="186"/>
      <c r="D7" s="180"/>
      <c r="E7" s="179">
        <f t="shared" ref="E7:E25" si="0">F7-B7-D7</f>
        <v>686045</v>
      </c>
      <c r="F7" s="187">
        <f>'8a-Intézmények kiadása'!I7</f>
        <v>686045</v>
      </c>
      <c r="G7" s="188">
        <f t="shared" ref="G7:I7" si="1">G6</f>
        <v>407</v>
      </c>
      <c r="H7" s="179">
        <f t="shared" si="1"/>
        <v>0</v>
      </c>
      <c r="I7" s="179">
        <f t="shared" si="1"/>
        <v>6496</v>
      </c>
      <c r="J7" s="179">
        <f>K7-G7-H7-I7</f>
        <v>717798</v>
      </c>
      <c r="K7" s="153">
        <f>'8a-Intézmények kiadása'!Q7</f>
        <v>724701</v>
      </c>
    </row>
    <row r="8" spans="1:11" ht="18" customHeight="1" x14ac:dyDescent="0.2">
      <c r="A8" s="178" t="s">
        <v>177</v>
      </c>
      <c r="B8" s="185"/>
      <c r="C8" s="186"/>
      <c r="D8" s="180"/>
      <c r="E8" s="179">
        <f t="shared" si="0"/>
        <v>0</v>
      </c>
      <c r="F8" s="152">
        <f>'8a-Intézmények kiadása'!I8</f>
        <v>0</v>
      </c>
      <c r="G8" s="189"/>
      <c r="H8" s="186"/>
      <c r="I8" s="180"/>
      <c r="J8" s="179">
        <f>K8-G8-I8-H8</f>
        <v>0</v>
      </c>
      <c r="K8" s="153">
        <f>'8a-Intézmények kiadása'!Q8</f>
        <v>0</v>
      </c>
    </row>
    <row r="9" spans="1:11" s="49" customFormat="1" ht="24" customHeight="1" x14ac:dyDescent="0.2">
      <c r="A9" s="175" t="s">
        <v>86</v>
      </c>
      <c r="B9" s="184">
        <v>40191</v>
      </c>
      <c r="C9" s="183"/>
      <c r="D9" s="177"/>
      <c r="E9" s="145">
        <f t="shared" si="0"/>
        <v>299764</v>
      </c>
      <c r="F9" s="176">
        <f>'8a-Intézmények kiadása'!I9</f>
        <v>339955</v>
      </c>
      <c r="G9" s="184">
        <v>32220</v>
      </c>
      <c r="H9" s="183">
        <v>24799</v>
      </c>
      <c r="I9" s="177">
        <v>30959</v>
      </c>
      <c r="J9" s="145">
        <f>K9-G9-H9-I9</f>
        <v>311847</v>
      </c>
      <c r="K9" s="146">
        <f>'8a-Intézmények kiadása'!Q9</f>
        <v>399825</v>
      </c>
    </row>
    <row r="10" spans="1:11" ht="18" customHeight="1" x14ac:dyDescent="0.2">
      <c r="A10" s="178" t="s">
        <v>174</v>
      </c>
      <c r="B10" s="185">
        <f>B9-B11</f>
        <v>35191</v>
      </c>
      <c r="C10" s="186"/>
      <c r="D10" s="180"/>
      <c r="E10" s="179">
        <f t="shared" si="0"/>
        <v>299764</v>
      </c>
      <c r="F10" s="132">
        <f>'8a-Intézmények kiadása'!I10</f>
        <v>334955</v>
      </c>
      <c r="G10" s="189">
        <f>G9-G11</f>
        <v>27220</v>
      </c>
      <c r="H10" s="186">
        <f>H9-H11</f>
        <v>24799</v>
      </c>
      <c r="I10" s="186">
        <f>I9-I11</f>
        <v>30959</v>
      </c>
      <c r="J10" s="179">
        <f>J9-J11</f>
        <v>311847</v>
      </c>
      <c r="K10" s="190">
        <f>'8a-Intézmények kiadása'!Q10</f>
        <v>394825</v>
      </c>
    </row>
    <row r="11" spans="1:11" ht="18" customHeight="1" x14ac:dyDescent="0.2">
      <c r="A11" s="178" t="s">
        <v>177</v>
      </c>
      <c r="B11" s="185">
        <v>5000</v>
      </c>
      <c r="C11" s="186"/>
      <c r="D11" s="180"/>
      <c r="E11" s="179">
        <f t="shared" si="0"/>
        <v>0</v>
      </c>
      <c r="F11" s="132">
        <f>'8a-Intézmények kiadása'!I11</f>
        <v>5000</v>
      </c>
      <c r="G11" s="189">
        <v>5000</v>
      </c>
      <c r="H11" s="186"/>
      <c r="I11" s="186"/>
      <c r="J11" s="179">
        <f>K11-G11-I11-H11</f>
        <v>0</v>
      </c>
      <c r="K11" s="190">
        <f>'8a-Intézmények kiadása'!Q11</f>
        <v>5000</v>
      </c>
    </row>
    <row r="12" spans="1:11" s="49" customFormat="1" ht="24" customHeight="1" x14ac:dyDescent="0.2">
      <c r="A12" s="175" t="s">
        <v>87</v>
      </c>
      <c r="B12" s="182">
        <v>6000</v>
      </c>
      <c r="C12" s="183"/>
      <c r="D12" s="177"/>
      <c r="E12" s="145">
        <f t="shared" si="0"/>
        <v>36111</v>
      </c>
      <c r="F12" s="176">
        <f>'8a-Intézmények kiadása'!I12</f>
        <v>42111</v>
      </c>
      <c r="G12" s="184">
        <v>6000</v>
      </c>
      <c r="H12" s="183">
        <v>312</v>
      </c>
      <c r="I12" s="177">
        <v>1112</v>
      </c>
      <c r="J12" s="145">
        <f>K12-G12-H12-I12</f>
        <v>38423</v>
      </c>
      <c r="K12" s="146">
        <f>'8a-Intézmények kiadása'!Q12</f>
        <v>45847</v>
      </c>
    </row>
    <row r="13" spans="1:11" ht="18" customHeight="1" x14ac:dyDescent="0.2">
      <c r="A13" s="178" t="s">
        <v>174</v>
      </c>
      <c r="B13" s="185"/>
      <c r="C13" s="186"/>
      <c r="D13" s="180"/>
      <c r="E13" s="179">
        <f t="shared" si="0"/>
        <v>0</v>
      </c>
      <c r="F13" s="152">
        <f>'8a-Intézmények kiadása'!I13</f>
        <v>0</v>
      </c>
      <c r="G13" s="189"/>
      <c r="H13" s="186"/>
      <c r="I13" s="180"/>
      <c r="J13" s="179">
        <f>K13-G13-I13-H13</f>
        <v>0</v>
      </c>
      <c r="K13" s="153">
        <f>'8a-Intézmények kiadása'!Q13</f>
        <v>0</v>
      </c>
    </row>
    <row r="14" spans="1:11" ht="18" customHeight="1" x14ac:dyDescent="0.2">
      <c r="A14" s="178" t="s">
        <v>177</v>
      </c>
      <c r="B14" s="185">
        <v>6000</v>
      </c>
      <c r="C14" s="186"/>
      <c r="D14" s="180"/>
      <c r="E14" s="179">
        <v>36111</v>
      </c>
      <c r="F14" s="152">
        <f>'8a-Intézmények kiadása'!I14</f>
        <v>42111</v>
      </c>
      <c r="G14" s="189">
        <f>G12-G13</f>
        <v>6000</v>
      </c>
      <c r="H14" s="186">
        <f>H12-H13</f>
        <v>312</v>
      </c>
      <c r="I14" s="186">
        <f>I12-I13</f>
        <v>1112</v>
      </c>
      <c r="J14" s="179">
        <f>K14-G14-I14-H14</f>
        <v>38423</v>
      </c>
      <c r="K14" s="153">
        <f>'8a-Intézmények kiadása'!Q14</f>
        <v>45847</v>
      </c>
    </row>
    <row r="15" spans="1:11" s="49" customFormat="1" ht="24" customHeight="1" x14ac:dyDescent="0.2">
      <c r="A15" s="175" t="s">
        <v>60</v>
      </c>
      <c r="B15" s="182">
        <v>37478</v>
      </c>
      <c r="C15" s="183"/>
      <c r="D15" s="177"/>
      <c r="E15" s="145">
        <f t="shared" si="0"/>
        <v>493664</v>
      </c>
      <c r="F15" s="176">
        <f>'8a-Intézmények kiadása'!I15</f>
        <v>531142</v>
      </c>
      <c r="G15" s="184">
        <f>'3-Egyéb bevételek'!D18+'7-Vagyonhasznositási bevétel'!D10</f>
        <v>38731</v>
      </c>
      <c r="H15" s="183">
        <f>H16+H17+H18</f>
        <v>31041</v>
      </c>
      <c r="I15" s="183">
        <f>I16+I17+I18</f>
        <v>36626</v>
      </c>
      <c r="J15" s="145">
        <f>K15-G15-H15-I15</f>
        <v>510828</v>
      </c>
      <c r="K15" s="146">
        <f>'8a-Intézmények kiadása'!Q15</f>
        <v>617226</v>
      </c>
    </row>
    <row r="16" spans="1:11" ht="18" customHeight="1" x14ac:dyDescent="0.2">
      <c r="A16" s="178" t="s">
        <v>174</v>
      </c>
      <c r="B16" s="191">
        <f>B15-B17-B18</f>
        <v>35278</v>
      </c>
      <c r="C16" s="180"/>
      <c r="D16" s="180"/>
      <c r="E16" s="179">
        <f t="shared" si="0"/>
        <v>465008</v>
      </c>
      <c r="F16" s="152">
        <f>F15-F17-F18</f>
        <v>500286</v>
      </c>
      <c r="G16" s="192">
        <f>G15-G17-G18</f>
        <v>36531</v>
      </c>
      <c r="H16" s="180"/>
      <c r="I16" s="180">
        <v>36626</v>
      </c>
      <c r="J16" s="179">
        <f>K16-G16-I16-H16</f>
        <v>494370</v>
      </c>
      <c r="K16" s="153">
        <f>K15-K17-K18</f>
        <v>567527</v>
      </c>
    </row>
    <row r="17" spans="1:11" ht="18" customHeight="1" x14ac:dyDescent="0.2">
      <c r="A17" s="178" t="s">
        <v>177</v>
      </c>
      <c r="B17" s="191">
        <f>'3-Egyéb bevételek'!C15</f>
        <v>200</v>
      </c>
      <c r="C17" s="180"/>
      <c r="D17" s="180"/>
      <c r="E17" s="179">
        <f t="shared" si="0"/>
        <v>21628</v>
      </c>
      <c r="F17" s="152">
        <f>'8a-Intézmények kiadása'!I17</f>
        <v>21828</v>
      </c>
      <c r="G17" s="192">
        <v>200</v>
      </c>
      <c r="H17" s="180"/>
      <c r="I17" s="180"/>
      <c r="J17" s="179">
        <f>K17-G17-I17-H17</f>
        <v>21508</v>
      </c>
      <c r="K17" s="153">
        <f>'8a-Intézmények kiadása'!Q17</f>
        <v>21708</v>
      </c>
    </row>
    <row r="18" spans="1:11" ht="18" customHeight="1" x14ac:dyDescent="0.2">
      <c r="A18" s="178" t="s">
        <v>178</v>
      </c>
      <c r="B18" s="191">
        <f>'3-Egyéb bevételek'!C16</f>
        <v>2000</v>
      </c>
      <c r="C18" s="180"/>
      <c r="D18" s="180"/>
      <c r="E18" s="179">
        <f t="shared" si="0"/>
        <v>7028</v>
      </c>
      <c r="F18" s="152">
        <f>'8a-Intézmények kiadása'!I18</f>
        <v>9028</v>
      </c>
      <c r="G18" s="192">
        <v>2000</v>
      </c>
      <c r="H18" s="180">
        <v>31041</v>
      </c>
      <c r="I18" s="180"/>
      <c r="J18" s="179">
        <f>K18-G18-I18-H18</f>
        <v>-5050</v>
      </c>
      <c r="K18" s="153">
        <f>'8a-Intézmények kiadása'!Q18</f>
        <v>27991</v>
      </c>
    </row>
    <row r="19" spans="1:11" ht="30" customHeight="1" x14ac:dyDescent="0.2">
      <c r="A19" s="193" t="s">
        <v>309</v>
      </c>
      <c r="B19" s="194">
        <v>2055</v>
      </c>
      <c r="C19" s="195"/>
      <c r="D19" s="177"/>
      <c r="E19" s="145">
        <f t="shared" si="0"/>
        <v>206351</v>
      </c>
      <c r="F19" s="196">
        <f>'8a-Intézmények kiadása'!I19</f>
        <v>208406</v>
      </c>
      <c r="G19" s="197">
        <v>2995</v>
      </c>
      <c r="H19" s="195">
        <v>900</v>
      </c>
      <c r="I19" s="177">
        <v>3457</v>
      </c>
      <c r="J19" s="177">
        <f>K19-I19-G19-H19</f>
        <v>211605</v>
      </c>
      <c r="K19" s="198">
        <f>'8a-Intézmények kiadása'!Q19</f>
        <v>218957</v>
      </c>
    </row>
    <row r="20" spans="1:11" ht="18" customHeight="1" x14ac:dyDescent="0.2">
      <c r="A20" s="178" t="s">
        <v>174</v>
      </c>
      <c r="B20" s="199">
        <f>B19-B21</f>
        <v>1430</v>
      </c>
      <c r="C20" s="200"/>
      <c r="D20" s="180"/>
      <c r="E20" s="179">
        <f t="shared" si="0"/>
        <v>206351</v>
      </c>
      <c r="F20" s="201">
        <f>'8a-Intézmények kiadása'!I20</f>
        <v>207781</v>
      </c>
      <c r="G20" s="202">
        <f>G19-G21</f>
        <v>2370</v>
      </c>
      <c r="H20" s="200">
        <f>H19-H21</f>
        <v>900</v>
      </c>
      <c r="I20" s="200">
        <f>I19-I21</f>
        <v>3457</v>
      </c>
      <c r="J20" s="179">
        <f>K20-G20-I20-H20</f>
        <v>211605</v>
      </c>
      <c r="K20" s="203">
        <f>'8a-Intézmények kiadása'!Q20</f>
        <v>218332</v>
      </c>
    </row>
    <row r="21" spans="1:11" ht="18" customHeight="1" x14ac:dyDescent="0.2">
      <c r="A21" s="178" t="s">
        <v>177</v>
      </c>
      <c r="B21" s="199">
        <v>625</v>
      </c>
      <c r="C21" s="200"/>
      <c r="D21" s="180"/>
      <c r="E21" s="179">
        <f t="shared" si="0"/>
        <v>0</v>
      </c>
      <c r="F21" s="204">
        <f>'8a-Intézmények kiadása'!I21</f>
        <v>625</v>
      </c>
      <c r="G21" s="202">
        <v>625</v>
      </c>
      <c r="H21" s="200"/>
      <c r="I21" s="180"/>
      <c r="J21" s="179">
        <f>K21-G21-I21-H21</f>
        <v>0</v>
      </c>
      <c r="K21" s="205">
        <f>'8a-Intézmények kiadása'!Q21</f>
        <v>625</v>
      </c>
    </row>
    <row r="22" spans="1:11" ht="30" customHeight="1" x14ac:dyDescent="0.2">
      <c r="A22" s="193" t="s">
        <v>176</v>
      </c>
      <c r="B22" s="194">
        <v>5000</v>
      </c>
      <c r="C22" s="195"/>
      <c r="D22" s="177"/>
      <c r="E22" s="145">
        <f t="shared" si="0"/>
        <v>49221</v>
      </c>
      <c r="F22" s="196">
        <f>'8a-Intézmények kiadása'!I22</f>
        <v>54221</v>
      </c>
      <c r="G22" s="197">
        <v>6415</v>
      </c>
      <c r="H22" s="195">
        <v>5804</v>
      </c>
      <c r="I22" s="177">
        <v>15905</v>
      </c>
      <c r="J22" s="177">
        <f>K22-I22-G22-H22</f>
        <v>52170</v>
      </c>
      <c r="K22" s="198">
        <f>'8a-Intézmények kiadása'!Q22</f>
        <v>80294</v>
      </c>
    </row>
    <row r="23" spans="1:11" ht="30" customHeight="1" x14ac:dyDescent="0.2">
      <c r="A23" s="193" t="s">
        <v>311</v>
      </c>
      <c r="B23" s="206">
        <v>211596</v>
      </c>
      <c r="C23" s="207"/>
      <c r="D23" s="177"/>
      <c r="E23" s="145">
        <f t="shared" si="0"/>
        <v>496610</v>
      </c>
      <c r="F23" s="196">
        <f>'8a-Intézmények kiadása'!I23</f>
        <v>708206</v>
      </c>
      <c r="G23" s="208">
        <v>231579</v>
      </c>
      <c r="H23" s="209"/>
      <c r="I23" s="177">
        <v>29119</v>
      </c>
      <c r="J23" s="177">
        <f>K23-I23-G23-H23</f>
        <v>544540</v>
      </c>
      <c r="K23" s="198">
        <f>'8a-Intézmények kiadása'!Q23</f>
        <v>805238</v>
      </c>
    </row>
    <row r="24" spans="1:11" ht="18" customHeight="1" x14ac:dyDescent="0.2">
      <c r="A24" s="178" t="s">
        <v>174</v>
      </c>
      <c r="B24" s="210">
        <v>170010</v>
      </c>
      <c r="C24" s="211"/>
      <c r="D24" s="200"/>
      <c r="E24" s="179">
        <f t="shared" si="0"/>
        <v>496610</v>
      </c>
      <c r="F24" s="212">
        <f>'8a-Intézmények kiadása'!I24</f>
        <v>666620</v>
      </c>
      <c r="G24" s="210">
        <f>G23-G25</f>
        <v>187691</v>
      </c>
      <c r="H24" s="200">
        <f>H23-H25</f>
        <v>0</v>
      </c>
      <c r="I24" s="200">
        <f>I23-I25</f>
        <v>29119</v>
      </c>
      <c r="J24" s="200">
        <f>J23-J25</f>
        <v>520186</v>
      </c>
      <c r="K24" s="213">
        <f>'8a-Intézmények kiadása'!Q24</f>
        <v>736995</v>
      </c>
    </row>
    <row r="25" spans="1:11" ht="18" customHeight="1" thickBot="1" x14ac:dyDescent="0.25">
      <c r="A25" s="178" t="s">
        <v>177</v>
      </c>
      <c r="B25" s="214">
        <v>41586</v>
      </c>
      <c r="C25" s="215"/>
      <c r="D25" s="215"/>
      <c r="E25" s="145">
        <f t="shared" si="0"/>
        <v>0</v>
      </c>
      <c r="F25" s="212">
        <f>'8a-Intézmények kiadása'!I25</f>
        <v>41586</v>
      </c>
      <c r="G25" s="214">
        <v>43888</v>
      </c>
      <c r="H25" s="215"/>
      <c r="I25" s="215"/>
      <c r="J25" s="200">
        <v>24354</v>
      </c>
      <c r="K25" s="213">
        <f>'8a-Intézmények kiadása'!Q25</f>
        <v>68243</v>
      </c>
    </row>
    <row r="26" spans="1:11" s="1" customFormat="1" ht="24" customHeight="1" thickBot="1" x14ac:dyDescent="0.25">
      <c r="A26" s="61" t="s">
        <v>53</v>
      </c>
      <c r="B26" s="52">
        <f>B3+B6+B9+B12+B15+B19+B22+B23</f>
        <v>341320</v>
      </c>
      <c r="C26" s="53">
        <f>C3+C6+C9+C12+C15+C19+C22+C23</f>
        <v>1022122</v>
      </c>
      <c r="D26" s="53">
        <f t="shared" ref="D26:E26" si="2">D3+D6+D9+D12+D15+D19+D22+D23</f>
        <v>0</v>
      </c>
      <c r="E26" s="51">
        <f t="shared" si="2"/>
        <v>2304029</v>
      </c>
      <c r="F26" s="42">
        <f>SUM(B26:E26)</f>
        <v>3667471</v>
      </c>
      <c r="G26" s="52">
        <f>G3+G6+G9+G12+G15+G19+G22+G23</f>
        <v>357347</v>
      </c>
      <c r="H26" s="53">
        <f>H3+H6+H9+H12+H15+H19+H22+H23</f>
        <v>1129047</v>
      </c>
      <c r="I26" s="53">
        <f>I3+I6+I9+I12+I15+I19+I22+I23</f>
        <v>155352</v>
      </c>
      <c r="J26" s="51">
        <f>J3+J6+J9+J12+J15+J19+J22+J23</f>
        <v>2450854</v>
      </c>
      <c r="K26" s="216">
        <f>SUM(G26:J26)</f>
        <v>4092600</v>
      </c>
    </row>
    <row r="27" spans="1:11" ht="13.5" thickTop="1" x14ac:dyDescent="0.2"/>
  </sheetData>
  <mergeCells count="1">
    <mergeCell ref="A1:A2"/>
  </mergeCells>
  <phoneticPr fontId="0" type="noConversion"/>
  <printOptions horizontalCentered="1"/>
  <pageMargins left="0.39370078740157483" right="0.52" top="0.89" bottom="0.38" header="0.22" footer="0.16"/>
  <pageSetup paperSize="8" scale="92" orientation="landscape" r:id="rId1"/>
  <headerFooter alignWithMargins="0">
    <oddHeader>&amp;C&amp;"Times New Roman CE,Félkövér"&amp;16Önkormányzati intézmények bevételei 
kötelező önként vállalt és államigazgatási feladatok szerinti bontásban&amp;"Times New Roman CE,Normál"&amp;14
&amp;11/ ezer Ft /&amp;R&amp;"Times New Roman,Normál"&amp;12 1/a. sz. melléklet</oddHeader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1:D11"/>
  <sheetViews>
    <sheetView zoomScale="130" zoomScaleNormal="130" workbookViewId="0">
      <selection sqref="A1:D10"/>
    </sheetView>
  </sheetViews>
  <sheetFormatPr defaultRowHeight="12.75" x14ac:dyDescent="0.2"/>
  <cols>
    <col min="1" max="1" width="7.7109375" customWidth="1"/>
    <col min="2" max="2" width="24.140625" customWidth="1"/>
    <col min="3" max="4" width="12.7109375" customWidth="1"/>
  </cols>
  <sheetData>
    <row r="1" spans="1:4" ht="16.5" thickTop="1" x14ac:dyDescent="0.2">
      <c r="A1" s="586" t="s">
        <v>181</v>
      </c>
      <c r="B1" s="582" t="s">
        <v>56</v>
      </c>
      <c r="C1" s="584" t="s">
        <v>102</v>
      </c>
      <c r="D1" s="585"/>
    </row>
    <row r="2" spans="1:4" ht="16.5" thickBot="1" x14ac:dyDescent="0.25">
      <c r="A2" s="587"/>
      <c r="B2" s="583"/>
      <c r="C2" s="217" t="s">
        <v>521</v>
      </c>
      <c r="D2" s="218" t="s">
        <v>522</v>
      </c>
    </row>
    <row r="3" spans="1:4" ht="18" customHeight="1" x14ac:dyDescent="0.2">
      <c r="A3" s="56" t="s">
        <v>192</v>
      </c>
      <c r="B3" s="219" t="s">
        <v>61</v>
      </c>
      <c r="C3" s="220">
        <v>440000</v>
      </c>
      <c r="D3" s="221">
        <v>440000</v>
      </c>
    </row>
    <row r="4" spans="1:4" ht="18" customHeight="1" x14ac:dyDescent="0.2">
      <c r="A4" s="82" t="s">
        <v>193</v>
      </c>
      <c r="B4" s="219" t="s">
        <v>119</v>
      </c>
      <c r="C4" s="220">
        <v>165000</v>
      </c>
      <c r="D4" s="222">
        <v>165000</v>
      </c>
    </row>
    <row r="5" spans="1:4" ht="18" customHeight="1" x14ac:dyDescent="0.2">
      <c r="A5" s="82" t="s">
        <v>194</v>
      </c>
      <c r="B5" s="219" t="s">
        <v>109</v>
      </c>
      <c r="C5" s="220">
        <v>900000</v>
      </c>
      <c r="D5" s="222">
        <v>900000</v>
      </c>
    </row>
    <row r="6" spans="1:4" ht="18" customHeight="1" x14ac:dyDescent="0.2">
      <c r="A6" s="82" t="s">
        <v>195</v>
      </c>
      <c r="B6" s="219" t="s">
        <v>349</v>
      </c>
      <c r="C6" s="220">
        <v>4000</v>
      </c>
      <c r="D6" s="222">
        <v>4000</v>
      </c>
    </row>
    <row r="7" spans="1:4" ht="18" customHeight="1" x14ac:dyDescent="0.2">
      <c r="A7" s="82"/>
      <c r="B7" s="219"/>
      <c r="C7" s="220"/>
      <c r="D7" s="223"/>
    </row>
    <row r="8" spans="1:4" ht="18" customHeight="1" x14ac:dyDescent="0.2">
      <c r="A8" s="82"/>
      <c r="B8" s="219"/>
      <c r="C8" s="220"/>
      <c r="D8" s="222"/>
    </row>
    <row r="9" spans="1:4" ht="18" customHeight="1" thickBot="1" x14ac:dyDescent="0.25">
      <c r="A9" s="82"/>
      <c r="B9" s="219"/>
      <c r="C9" s="224"/>
      <c r="D9" s="222"/>
    </row>
    <row r="10" spans="1:4" s="1" customFormat="1" ht="21" customHeight="1" thickBot="1" x14ac:dyDescent="0.25">
      <c r="A10" s="57"/>
      <c r="B10" s="54" t="s">
        <v>53</v>
      </c>
      <c r="C10" s="3">
        <f>SUM(C3:C9)</f>
        <v>1509000</v>
      </c>
      <c r="D10" s="225">
        <f>SUM(D3:D9)</f>
        <v>1509000</v>
      </c>
    </row>
    <row r="11" spans="1:4" ht="13.5" thickTop="1" x14ac:dyDescent="0.2"/>
  </sheetData>
  <autoFilter ref="B1:D10">
    <filterColumn colId="1" showButton="0"/>
    <filterColumn colId="2" showButton="0"/>
  </autoFilter>
  <mergeCells count="3">
    <mergeCell ref="B1:B2"/>
    <mergeCell ref="C1:D1"/>
    <mergeCell ref="A1:A2"/>
  </mergeCells>
  <phoneticPr fontId="0" type="noConversion"/>
  <printOptions horizontalCentered="1"/>
  <pageMargins left="0.15748031496062992" right="0.27559055118110237" top="2.0472440944881889" bottom="0.43307086614173229" header="0.82677165354330717" footer="0.27559055118110237"/>
  <pageSetup paperSize="9" orientation="portrait" r:id="rId1"/>
  <headerFooter alignWithMargins="0">
    <oddHeader>&amp;C&amp;"Times New Roman CE,Félkövér"&amp;16
Helyi adóbevételek és átengedett központi adók&amp;"Times New Roman CE,Normál"&amp;10
&amp;12/ ezer Ft /&amp;R&amp;"Times New Roman,Normál"&amp;12 2. 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D22"/>
  <sheetViews>
    <sheetView tabSelected="1" zoomScale="115" zoomScaleNormal="115" workbookViewId="0">
      <selection sqref="A1:D21"/>
    </sheetView>
  </sheetViews>
  <sheetFormatPr defaultRowHeight="12.75" x14ac:dyDescent="0.2"/>
  <cols>
    <col min="1" max="1" width="7.7109375" customWidth="1"/>
    <col min="2" max="2" width="38" customWidth="1"/>
    <col min="3" max="4" width="12.7109375" customWidth="1"/>
  </cols>
  <sheetData>
    <row r="1" spans="1:4" ht="16.5" thickTop="1" x14ac:dyDescent="0.2">
      <c r="A1" s="591" t="s">
        <v>181</v>
      </c>
      <c r="B1" s="582" t="s">
        <v>56</v>
      </c>
      <c r="C1" s="589" t="s">
        <v>102</v>
      </c>
      <c r="D1" s="590"/>
    </row>
    <row r="2" spans="1:4" ht="16.5" thickBot="1" x14ac:dyDescent="0.25">
      <c r="A2" s="592"/>
      <c r="B2" s="588"/>
      <c r="C2" s="231" t="s">
        <v>521</v>
      </c>
      <c r="D2" s="232" t="s">
        <v>522</v>
      </c>
    </row>
    <row r="3" spans="1:4" ht="18" customHeight="1" x14ac:dyDescent="0.2">
      <c r="A3" s="226"/>
      <c r="B3" s="233" t="s">
        <v>121</v>
      </c>
      <c r="C3" s="227"/>
      <c r="D3" s="234"/>
    </row>
    <row r="4" spans="1:4" ht="21.95" customHeight="1" x14ac:dyDescent="0.2">
      <c r="A4" s="235" t="s">
        <v>196</v>
      </c>
      <c r="B4" s="219" t="s">
        <v>65</v>
      </c>
      <c r="C4" s="228">
        <v>2400</v>
      </c>
      <c r="D4" s="236">
        <v>8397</v>
      </c>
    </row>
    <row r="5" spans="1:4" ht="21.95" customHeight="1" x14ac:dyDescent="0.2">
      <c r="A5" s="235" t="s">
        <v>197</v>
      </c>
      <c r="B5" s="237" t="s">
        <v>66</v>
      </c>
      <c r="C5" s="238">
        <v>2000</v>
      </c>
      <c r="D5" s="239">
        <v>2000</v>
      </c>
    </row>
    <row r="6" spans="1:4" ht="21.95" customHeight="1" x14ac:dyDescent="0.2">
      <c r="A6" s="235" t="s">
        <v>198</v>
      </c>
      <c r="B6" s="237" t="s">
        <v>441</v>
      </c>
      <c r="C6" s="240">
        <v>107190</v>
      </c>
      <c r="D6" s="239">
        <f>107190-71561</f>
        <v>35629</v>
      </c>
    </row>
    <row r="7" spans="1:4" ht="21.95" customHeight="1" x14ac:dyDescent="0.2">
      <c r="A7" s="235" t="s">
        <v>199</v>
      </c>
      <c r="B7" s="237" t="s">
        <v>383</v>
      </c>
      <c r="C7" s="238"/>
      <c r="D7" s="239">
        <f>3048+1412</f>
        <v>4460</v>
      </c>
    </row>
    <row r="8" spans="1:4" ht="21.95" customHeight="1" x14ac:dyDescent="0.2">
      <c r="A8" s="235" t="s">
        <v>213</v>
      </c>
      <c r="B8" s="237" t="s">
        <v>536</v>
      </c>
      <c r="C8" s="241"/>
      <c r="D8" s="239">
        <f>5279+1000</f>
        <v>6279</v>
      </c>
    </row>
    <row r="9" spans="1:4" ht="21.95" customHeight="1" x14ac:dyDescent="0.2">
      <c r="A9" s="235" t="s">
        <v>214</v>
      </c>
      <c r="B9" s="237" t="s">
        <v>560</v>
      </c>
      <c r="C9" s="241"/>
      <c r="D9" s="239">
        <f>2921+2032</f>
        <v>4953</v>
      </c>
    </row>
    <row r="10" spans="1:4" ht="21.95" customHeight="1" x14ac:dyDescent="0.2">
      <c r="A10" s="235" t="s">
        <v>215</v>
      </c>
      <c r="B10" s="237" t="s">
        <v>593</v>
      </c>
      <c r="C10" s="241"/>
      <c r="D10" s="239">
        <v>20362</v>
      </c>
    </row>
    <row r="11" spans="1:4" ht="18" customHeight="1" x14ac:dyDescent="0.2">
      <c r="A11" s="235"/>
      <c r="B11" s="237"/>
      <c r="C11" s="241"/>
      <c r="D11" s="242"/>
    </row>
    <row r="12" spans="1:4" ht="18" customHeight="1" x14ac:dyDescent="0.2">
      <c r="A12" s="235"/>
      <c r="B12" s="243" t="s">
        <v>122</v>
      </c>
      <c r="C12" s="244">
        <f>SUM(C4:C11)</f>
        <v>111590</v>
      </c>
      <c r="D12" s="245">
        <f>SUM(D4:D11)</f>
        <v>82080</v>
      </c>
    </row>
    <row r="13" spans="1:4" ht="18" customHeight="1" x14ac:dyDescent="0.2">
      <c r="A13" s="235"/>
      <c r="B13" s="243"/>
      <c r="C13" s="241"/>
      <c r="D13" s="239"/>
    </row>
    <row r="14" spans="1:4" ht="18" customHeight="1" x14ac:dyDescent="0.2">
      <c r="A14" s="235"/>
      <c r="B14" s="246" t="s">
        <v>123</v>
      </c>
      <c r="C14" s="241"/>
      <c r="D14" s="242"/>
    </row>
    <row r="15" spans="1:4" ht="21.95" customHeight="1" x14ac:dyDescent="0.2">
      <c r="A15" s="235" t="s">
        <v>206</v>
      </c>
      <c r="B15" s="237" t="s">
        <v>74</v>
      </c>
      <c r="C15" s="247">
        <v>200</v>
      </c>
      <c r="D15" s="239">
        <v>200</v>
      </c>
    </row>
    <row r="16" spans="1:4" ht="21.95" customHeight="1" x14ac:dyDescent="0.2">
      <c r="A16" s="235" t="s">
        <v>207</v>
      </c>
      <c r="B16" s="237" t="s">
        <v>63</v>
      </c>
      <c r="C16" s="247">
        <v>2000</v>
      </c>
      <c r="D16" s="239">
        <v>2000</v>
      </c>
    </row>
    <row r="17" spans="1:4" ht="21.95" customHeight="1" x14ac:dyDescent="0.2">
      <c r="A17" s="235" t="s">
        <v>208</v>
      </c>
      <c r="B17" s="237" t="s">
        <v>117</v>
      </c>
      <c r="C17" s="248">
        <v>8030</v>
      </c>
      <c r="D17" s="242">
        <v>8778</v>
      </c>
    </row>
    <row r="18" spans="1:4" ht="21.95" customHeight="1" x14ac:dyDescent="0.2">
      <c r="A18" s="235"/>
      <c r="B18" s="243" t="s">
        <v>124</v>
      </c>
      <c r="C18" s="249">
        <f>SUM(C15:C17)</f>
        <v>10230</v>
      </c>
      <c r="D18" s="250">
        <f>SUM(D15:D17)</f>
        <v>10978</v>
      </c>
    </row>
    <row r="19" spans="1:4" ht="21.95" customHeight="1" x14ac:dyDescent="0.2">
      <c r="A19" s="235"/>
      <c r="B19" s="243"/>
      <c r="C19" s="251"/>
      <c r="D19" s="252"/>
    </row>
    <row r="20" spans="1:4" ht="18" customHeight="1" thickBot="1" x14ac:dyDescent="0.25">
      <c r="A20" s="253"/>
      <c r="B20" s="243"/>
      <c r="C20" s="229"/>
      <c r="D20" s="254"/>
    </row>
    <row r="21" spans="1:4" s="1" customFormat="1" ht="21" customHeight="1" thickBot="1" x14ac:dyDescent="0.25">
      <c r="A21" s="230"/>
      <c r="B21" s="54" t="s">
        <v>53</v>
      </c>
      <c r="C21" s="17">
        <f>C12+C18</f>
        <v>121820</v>
      </c>
      <c r="D21" s="255">
        <f>D12+D18</f>
        <v>93058</v>
      </c>
    </row>
    <row r="22" spans="1:4" ht="13.5" thickTop="1" x14ac:dyDescent="0.2"/>
  </sheetData>
  <mergeCells count="3">
    <mergeCell ref="B1:B2"/>
    <mergeCell ref="C1:D1"/>
    <mergeCell ref="A1:A2"/>
  </mergeCells>
  <phoneticPr fontId="0" type="noConversion"/>
  <printOptions horizontalCentered="1"/>
  <pageMargins left="0.34" right="0.31496062992125984" top="1.7716535433070868" bottom="2.75" header="0.70866141732283472" footer="1.78"/>
  <pageSetup paperSize="8" orientation="portrait" r:id="rId1"/>
  <headerFooter alignWithMargins="0">
    <oddHeader>&amp;C&amp;"Times New Roman CE,Félkövér"&amp;16
Egyéb bevételek&amp;"Times New Roman CE,Normál"&amp;18
&amp;11/ ezer Ft /&amp;R&amp;"Times New Roman,Normál"&amp;12 3. sz.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D32"/>
  <sheetViews>
    <sheetView topLeftCell="A13" zoomScale="115" zoomScaleNormal="115" workbookViewId="0">
      <selection sqref="A1:D30"/>
    </sheetView>
  </sheetViews>
  <sheetFormatPr defaultRowHeight="12.75" x14ac:dyDescent="0.2"/>
  <cols>
    <col min="1" max="1" width="7.85546875" customWidth="1"/>
    <col min="2" max="2" width="57.85546875" customWidth="1"/>
    <col min="3" max="3" width="12.7109375" customWidth="1"/>
    <col min="4" max="4" width="12.7109375" style="256" customWidth="1"/>
  </cols>
  <sheetData>
    <row r="1" spans="1:4" ht="16.5" thickTop="1" x14ac:dyDescent="0.2">
      <c r="A1" s="586" t="s">
        <v>181</v>
      </c>
      <c r="B1" s="582" t="s">
        <v>56</v>
      </c>
      <c r="C1" s="593" t="s">
        <v>102</v>
      </c>
      <c r="D1" s="594"/>
    </row>
    <row r="2" spans="1:4" ht="16.5" thickBot="1" x14ac:dyDescent="0.25">
      <c r="A2" s="587"/>
      <c r="B2" s="583"/>
      <c r="C2" s="257" t="s">
        <v>521</v>
      </c>
      <c r="D2" s="258" t="s">
        <v>522</v>
      </c>
    </row>
    <row r="3" spans="1:4" ht="21.95" customHeight="1" x14ac:dyDescent="0.2">
      <c r="A3" s="56" t="s">
        <v>200</v>
      </c>
      <c r="B3" s="219" t="s">
        <v>101</v>
      </c>
      <c r="C3" s="78">
        <v>3240</v>
      </c>
      <c r="D3" s="259">
        <v>3240</v>
      </c>
    </row>
    <row r="4" spans="1:4" ht="21.75" customHeight="1" x14ac:dyDescent="0.2">
      <c r="A4" s="69" t="s">
        <v>201</v>
      </c>
      <c r="B4" s="260" t="s">
        <v>359</v>
      </c>
      <c r="C4" s="261">
        <v>120450</v>
      </c>
      <c r="D4" s="262">
        <v>120450</v>
      </c>
    </row>
    <row r="5" spans="1:4" ht="21.75" customHeight="1" x14ac:dyDescent="0.2">
      <c r="A5" s="69" t="s">
        <v>202</v>
      </c>
      <c r="B5" s="260" t="s">
        <v>447</v>
      </c>
      <c r="C5" s="261">
        <v>30000</v>
      </c>
      <c r="D5" s="262">
        <f>30000+6642+24511</f>
        <v>61153</v>
      </c>
    </row>
    <row r="6" spans="1:4" ht="21.75" customHeight="1" x14ac:dyDescent="0.2">
      <c r="A6" s="69" t="s">
        <v>203</v>
      </c>
      <c r="B6" s="260" t="s">
        <v>462</v>
      </c>
      <c r="C6" s="261">
        <v>1750</v>
      </c>
      <c r="D6" s="262">
        <v>1750</v>
      </c>
    </row>
    <row r="7" spans="1:4" ht="21.75" customHeight="1" x14ac:dyDescent="0.2">
      <c r="A7" s="69" t="s">
        <v>254</v>
      </c>
      <c r="B7" s="260" t="s">
        <v>329</v>
      </c>
      <c r="C7" s="261"/>
      <c r="D7" s="262">
        <f>102+73</f>
        <v>175</v>
      </c>
    </row>
    <row r="8" spans="1:4" ht="21.75" customHeight="1" x14ac:dyDescent="0.2">
      <c r="A8" s="69" t="s">
        <v>255</v>
      </c>
      <c r="B8" s="260" t="s">
        <v>540</v>
      </c>
      <c r="C8" s="261"/>
      <c r="D8" s="262">
        <v>1998</v>
      </c>
    </row>
    <row r="9" spans="1:4" ht="21.75" customHeight="1" x14ac:dyDescent="0.2">
      <c r="A9" s="69" t="s">
        <v>256</v>
      </c>
      <c r="B9" s="260" t="s">
        <v>537</v>
      </c>
      <c r="C9" s="261"/>
      <c r="D9" s="262">
        <v>7500</v>
      </c>
    </row>
    <row r="10" spans="1:4" s="85" customFormat="1" ht="21.75" customHeight="1" x14ac:dyDescent="0.2">
      <c r="A10" s="69" t="s">
        <v>257</v>
      </c>
      <c r="B10" s="260" t="s">
        <v>541</v>
      </c>
      <c r="C10" s="261"/>
      <c r="D10" s="262">
        <v>1500</v>
      </c>
    </row>
    <row r="11" spans="1:4" ht="21.75" customHeight="1" x14ac:dyDescent="0.2">
      <c r="A11" s="69" t="s">
        <v>258</v>
      </c>
      <c r="B11" s="260" t="s">
        <v>569</v>
      </c>
      <c r="C11" s="261"/>
      <c r="D11" s="262">
        <v>3500</v>
      </c>
    </row>
    <row r="12" spans="1:4" ht="21.75" customHeight="1" x14ac:dyDescent="0.2">
      <c r="A12" s="69"/>
      <c r="B12" s="260"/>
      <c r="C12" s="261"/>
      <c r="D12" s="262"/>
    </row>
    <row r="13" spans="1:4" s="1" customFormat="1" ht="18" customHeight="1" x14ac:dyDescent="0.2">
      <c r="A13" s="69"/>
      <c r="B13" s="263" t="s">
        <v>13</v>
      </c>
      <c r="C13" s="264">
        <f>SUM(C3:C12)</f>
        <v>155440</v>
      </c>
      <c r="D13" s="265">
        <f>SUM(D3:D12)</f>
        <v>201266</v>
      </c>
    </row>
    <row r="14" spans="1:4" ht="18" customHeight="1" x14ac:dyDescent="0.2">
      <c r="A14" s="69"/>
      <c r="B14" s="219"/>
      <c r="C14" s="266"/>
      <c r="D14" s="262"/>
    </row>
    <row r="15" spans="1:4" ht="27.75" customHeight="1" x14ac:dyDescent="0.2">
      <c r="A15" s="69" t="s">
        <v>204</v>
      </c>
      <c r="B15" s="260" t="s">
        <v>360</v>
      </c>
      <c r="C15" s="261">
        <v>697565</v>
      </c>
      <c r="D15" s="262">
        <v>697565</v>
      </c>
    </row>
    <row r="16" spans="1:4" ht="18" customHeight="1" x14ac:dyDescent="0.2">
      <c r="A16" s="69" t="s">
        <v>205</v>
      </c>
      <c r="B16" s="219" t="s">
        <v>362</v>
      </c>
      <c r="C16" s="261">
        <v>62085</v>
      </c>
      <c r="D16" s="262">
        <v>62085</v>
      </c>
    </row>
    <row r="17" spans="1:4" ht="18" customHeight="1" x14ac:dyDescent="0.2">
      <c r="A17" s="69" t="s">
        <v>313</v>
      </c>
      <c r="B17" s="219" t="s">
        <v>373</v>
      </c>
      <c r="C17" s="261">
        <v>99999</v>
      </c>
      <c r="D17" s="262">
        <v>99999</v>
      </c>
    </row>
    <row r="18" spans="1:4" ht="18" customHeight="1" x14ac:dyDescent="0.2">
      <c r="A18" s="69" t="s">
        <v>331</v>
      </c>
      <c r="B18" s="219" t="s">
        <v>463</v>
      </c>
      <c r="C18" s="261">
        <v>9300</v>
      </c>
      <c r="D18" s="262">
        <v>9300</v>
      </c>
    </row>
    <row r="19" spans="1:4" ht="18" customHeight="1" x14ac:dyDescent="0.2">
      <c r="A19" s="69" t="s">
        <v>332</v>
      </c>
      <c r="B19" s="219" t="s">
        <v>464</v>
      </c>
      <c r="C19" s="84">
        <v>111203</v>
      </c>
      <c r="D19" s="267">
        <v>111203</v>
      </c>
    </row>
    <row r="20" spans="1:4" ht="18" customHeight="1" x14ac:dyDescent="0.2">
      <c r="A20" s="83" t="s">
        <v>355</v>
      </c>
      <c r="B20" s="219" t="s">
        <v>465</v>
      </c>
      <c r="C20" s="84">
        <v>500</v>
      </c>
      <c r="D20" s="267">
        <v>500</v>
      </c>
    </row>
    <row r="21" spans="1:4" ht="18" customHeight="1" x14ac:dyDescent="0.2">
      <c r="A21" s="83" t="s">
        <v>380</v>
      </c>
      <c r="B21" s="268" t="s">
        <v>491</v>
      </c>
      <c r="C21" s="84">
        <v>13882</v>
      </c>
      <c r="D21" s="267">
        <f>13882-13882</f>
        <v>0</v>
      </c>
    </row>
    <row r="22" spans="1:4" ht="18" customHeight="1" x14ac:dyDescent="0.2">
      <c r="A22" s="83" t="s">
        <v>466</v>
      </c>
      <c r="B22" s="268" t="s">
        <v>492</v>
      </c>
      <c r="C22" s="84">
        <v>28658</v>
      </c>
      <c r="D22" s="267">
        <v>28658</v>
      </c>
    </row>
    <row r="23" spans="1:4" ht="18" customHeight="1" x14ac:dyDescent="0.2">
      <c r="A23" s="83" t="s">
        <v>534</v>
      </c>
      <c r="B23" s="219" t="s">
        <v>535</v>
      </c>
      <c r="C23" s="84"/>
      <c r="D23" s="267">
        <v>130</v>
      </c>
    </row>
    <row r="24" spans="1:4" ht="18" customHeight="1" x14ac:dyDescent="0.2">
      <c r="A24" s="83" t="s">
        <v>577</v>
      </c>
      <c r="B24" s="219" t="s">
        <v>604</v>
      </c>
      <c r="C24" s="84"/>
      <c r="D24" s="267">
        <v>279000</v>
      </c>
    </row>
    <row r="25" spans="1:4" ht="18" customHeight="1" x14ac:dyDescent="0.2">
      <c r="A25" s="83" t="s">
        <v>600</v>
      </c>
      <c r="B25" s="219" t="s">
        <v>605</v>
      </c>
      <c r="C25" s="84"/>
      <c r="D25" s="267">
        <v>300000</v>
      </c>
    </row>
    <row r="26" spans="1:4" ht="18" customHeight="1" x14ac:dyDescent="0.2">
      <c r="A26" s="83" t="s">
        <v>601</v>
      </c>
      <c r="B26" s="219" t="s">
        <v>606</v>
      </c>
      <c r="C26" s="84"/>
      <c r="D26" s="267">
        <v>500000</v>
      </c>
    </row>
    <row r="27" spans="1:4" ht="18" customHeight="1" x14ac:dyDescent="0.2">
      <c r="A27" s="83" t="s">
        <v>602</v>
      </c>
      <c r="B27" s="219" t="s">
        <v>607</v>
      </c>
      <c r="C27" s="84"/>
      <c r="D27" s="267">
        <v>53735</v>
      </c>
    </row>
    <row r="28" spans="1:4" ht="18" customHeight="1" x14ac:dyDescent="0.2">
      <c r="A28" s="83" t="s">
        <v>603</v>
      </c>
      <c r="B28" s="219" t="s">
        <v>608</v>
      </c>
      <c r="C28" s="84"/>
      <c r="D28" s="267">
        <v>499803</v>
      </c>
    </row>
    <row r="29" spans="1:4" ht="18" customHeight="1" x14ac:dyDescent="0.2">
      <c r="A29" s="83"/>
      <c r="B29" s="269"/>
      <c r="C29" s="84"/>
      <c r="D29" s="267"/>
    </row>
    <row r="30" spans="1:4" s="1" customFormat="1" ht="18" customHeight="1" thickBot="1" x14ac:dyDescent="0.25">
      <c r="A30" s="83"/>
      <c r="B30" s="263" t="s">
        <v>14</v>
      </c>
      <c r="C30" s="270">
        <f>SUM(C15:C29)</f>
        <v>1023192</v>
      </c>
      <c r="D30" s="271">
        <f>SUM(D15:D29)</f>
        <v>2641978</v>
      </c>
    </row>
    <row r="31" spans="1:4" s="1" customFormat="1" ht="21" customHeight="1" thickBot="1" x14ac:dyDescent="0.25">
      <c r="A31" s="57"/>
      <c r="B31" s="54"/>
      <c r="C31" s="18"/>
      <c r="D31" s="255"/>
    </row>
    <row r="32" spans="1:4" ht="13.5" thickTop="1" x14ac:dyDescent="0.2"/>
  </sheetData>
  <mergeCells count="3">
    <mergeCell ref="B1:B2"/>
    <mergeCell ref="C1:D1"/>
    <mergeCell ref="A1:A2"/>
  </mergeCells>
  <phoneticPr fontId="0" type="noConversion"/>
  <printOptions horizontalCentered="1"/>
  <pageMargins left="0.39370078740157483" right="0.35433070866141736" top="1.299212598425197" bottom="1.1811023622047245" header="0.6692913385826772" footer="0.62992125984251968"/>
  <pageSetup paperSize="8" orientation="portrait" r:id="rId1"/>
  <headerFooter alignWithMargins="0">
    <oddHeader>&amp;C&amp;"Times New Roman CE,Félkövér"&amp;16Átvett pénzeszközök&amp;"Times New Roman CE,Normál"&amp;10
&amp;11/ezer Ft/&amp;R&amp;"Times New Roman,Normál"&amp;12 4. sz.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D11"/>
  <sheetViews>
    <sheetView zoomScale="130" zoomScaleNormal="130" workbookViewId="0">
      <selection sqref="A1:D10"/>
    </sheetView>
  </sheetViews>
  <sheetFormatPr defaultRowHeight="12.75" x14ac:dyDescent="0.2"/>
  <cols>
    <col min="1" max="1" width="9.140625" style="55"/>
    <col min="2" max="2" width="35.140625" customWidth="1"/>
    <col min="3" max="4" width="12.7109375" customWidth="1"/>
  </cols>
  <sheetData>
    <row r="1" spans="1:4" ht="19.5" thickTop="1" x14ac:dyDescent="0.2">
      <c r="A1" s="591" t="s">
        <v>181</v>
      </c>
      <c r="B1" s="582" t="s">
        <v>56</v>
      </c>
      <c r="C1" s="596" t="s">
        <v>7</v>
      </c>
      <c r="D1" s="590"/>
    </row>
    <row r="2" spans="1:4" ht="16.5" thickBot="1" x14ac:dyDescent="0.25">
      <c r="A2" s="597"/>
      <c r="B2" s="595"/>
      <c r="C2" s="273" t="s">
        <v>521</v>
      </c>
      <c r="D2" s="274" t="s">
        <v>522</v>
      </c>
    </row>
    <row r="3" spans="1:4" ht="9" customHeight="1" x14ac:dyDescent="0.2">
      <c r="A3" s="226"/>
      <c r="B3" s="75"/>
      <c r="C3" s="272"/>
      <c r="D3" s="275"/>
    </row>
    <row r="4" spans="1:4" ht="21.95" customHeight="1" x14ac:dyDescent="0.2">
      <c r="A4" s="276" t="s">
        <v>453</v>
      </c>
      <c r="B4" s="277" t="s">
        <v>598</v>
      </c>
      <c r="C4" s="278">
        <v>300000</v>
      </c>
      <c r="D4" s="279">
        <f>300000+71184-8176</f>
        <v>363008</v>
      </c>
    </row>
    <row r="5" spans="1:4" ht="21.95" customHeight="1" x14ac:dyDescent="0.2">
      <c r="A5" s="276" t="s">
        <v>533</v>
      </c>
      <c r="B5" s="277" t="s">
        <v>557</v>
      </c>
      <c r="C5" s="278"/>
      <c r="D5" s="279">
        <f>7482+1346</f>
        <v>8828</v>
      </c>
    </row>
    <row r="6" spans="1:4" ht="21.95" customHeight="1" x14ac:dyDescent="0.2">
      <c r="A6" s="276" t="s">
        <v>538</v>
      </c>
      <c r="B6" s="277" t="s">
        <v>539</v>
      </c>
      <c r="C6" s="278"/>
      <c r="D6" s="279">
        <f>140104+118252</f>
        <v>258356</v>
      </c>
    </row>
    <row r="7" spans="1:4" ht="21.95" customHeight="1" x14ac:dyDescent="0.2">
      <c r="A7" s="276" t="s">
        <v>590</v>
      </c>
      <c r="B7" s="277" t="s">
        <v>558</v>
      </c>
      <c r="C7" s="278"/>
      <c r="D7" s="279">
        <v>1427</v>
      </c>
    </row>
    <row r="8" spans="1:4" ht="21.95" customHeight="1" x14ac:dyDescent="0.2">
      <c r="A8" s="276"/>
      <c r="B8" s="277"/>
      <c r="C8" s="278"/>
      <c r="D8" s="279"/>
    </row>
    <row r="9" spans="1:4" ht="18" customHeight="1" thickBot="1" x14ac:dyDescent="0.25">
      <c r="A9" s="276"/>
      <c r="B9" s="277"/>
      <c r="C9" s="280"/>
      <c r="D9" s="281"/>
    </row>
    <row r="10" spans="1:4" s="1" customFormat="1" ht="21" customHeight="1" thickBot="1" x14ac:dyDescent="0.25">
      <c r="A10" s="230"/>
      <c r="B10" s="54" t="s">
        <v>53</v>
      </c>
      <c r="C10" s="17">
        <f>SUM(C3:C9)</f>
        <v>300000</v>
      </c>
      <c r="D10" s="255">
        <f>SUM(D3:D9)</f>
        <v>631619</v>
      </c>
    </row>
    <row r="11" spans="1:4" ht="13.5" thickTop="1" x14ac:dyDescent="0.2"/>
  </sheetData>
  <mergeCells count="3">
    <mergeCell ref="B1:B2"/>
    <mergeCell ref="C1:D1"/>
    <mergeCell ref="A1:A2"/>
  </mergeCells>
  <phoneticPr fontId="0" type="noConversion"/>
  <printOptions horizontalCentered="1"/>
  <pageMargins left="0.59" right="0.78740157480314965" top="2.19" bottom="2.48" header="0.96" footer="1.69"/>
  <pageSetup paperSize="8" orientation="portrait" blackAndWhite="1" r:id="rId1"/>
  <headerFooter alignWithMargins="0">
    <oddHeader>&amp;C&amp;"Times New Roman CE,Normál"&amp;18
&amp;"Times New Roman CE,Félkövér"Központosított támogatások&amp;"Times New Roman CE,Normál"
&amp;11/ ezer Ft /&amp;R&amp;"Times New Roman,Normál"&amp;12 5. 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G55"/>
  <sheetViews>
    <sheetView topLeftCell="A34" zoomScale="85" zoomScaleNormal="85" workbookViewId="0">
      <selection activeCell="A4" sqref="A4:G54"/>
    </sheetView>
  </sheetViews>
  <sheetFormatPr defaultColWidth="11.42578125" defaultRowHeight="15" customHeight="1" x14ac:dyDescent="0.2"/>
  <cols>
    <col min="1" max="1" width="8.42578125" style="71" customWidth="1"/>
    <col min="2" max="2" width="60.140625" style="9" customWidth="1"/>
    <col min="3" max="3" width="10.28515625" style="12" customWidth="1"/>
    <col min="4" max="4" width="12.42578125" style="12" customWidth="1"/>
    <col min="5" max="5" width="14.28515625" style="12" customWidth="1"/>
    <col min="6" max="6" width="20.7109375" style="13" customWidth="1"/>
    <col min="7" max="7" width="20.5703125" style="6" customWidth="1"/>
    <col min="8" max="16384" width="11.42578125" style="6"/>
  </cols>
  <sheetData>
    <row r="1" spans="1:7" ht="15" hidden="1" customHeight="1" x14ac:dyDescent="0.2">
      <c r="A1" s="295"/>
      <c r="B1" s="296"/>
      <c r="C1" s="296"/>
      <c r="D1" s="296"/>
      <c r="E1" s="296"/>
      <c r="F1" s="296"/>
      <c r="G1" s="297"/>
    </row>
    <row r="2" spans="1:7" ht="15" hidden="1" customHeight="1" x14ac:dyDescent="0.2">
      <c r="A2" s="282"/>
      <c r="B2" s="298"/>
      <c r="C2" s="298"/>
      <c r="D2" s="298"/>
      <c r="E2" s="298"/>
      <c r="F2" s="298"/>
      <c r="G2" s="299"/>
    </row>
    <row r="3" spans="1:7" ht="15" hidden="1" customHeight="1" x14ac:dyDescent="0.2">
      <c r="A3" s="282"/>
      <c r="B3" s="298"/>
      <c r="C3" s="298"/>
      <c r="D3" s="298"/>
      <c r="E3" s="298"/>
      <c r="F3" s="298"/>
      <c r="G3" s="299"/>
    </row>
    <row r="4" spans="1:7" ht="57" customHeight="1" thickBot="1" x14ac:dyDescent="0.25">
      <c r="A4" s="283" t="s">
        <v>37</v>
      </c>
      <c r="B4" s="284" t="s">
        <v>56</v>
      </c>
      <c r="C4" s="285" t="s">
        <v>259</v>
      </c>
      <c r="D4" s="285" t="s">
        <v>484</v>
      </c>
      <c r="E4" s="285" t="s">
        <v>483</v>
      </c>
      <c r="F4" s="286" t="s">
        <v>525</v>
      </c>
      <c r="G4" s="300" t="s">
        <v>526</v>
      </c>
    </row>
    <row r="5" spans="1:7" ht="33.75" customHeight="1" x14ac:dyDescent="0.2">
      <c r="A5" s="598" t="s">
        <v>419</v>
      </c>
      <c r="B5" s="599"/>
      <c r="C5" s="599"/>
      <c r="D5" s="599"/>
      <c r="E5" s="600"/>
      <c r="F5" s="287"/>
      <c r="G5" s="301"/>
    </row>
    <row r="6" spans="1:7" ht="24.95" customHeight="1" x14ac:dyDescent="0.25">
      <c r="A6" s="288" t="s">
        <v>384</v>
      </c>
      <c r="B6" s="289" t="s">
        <v>260</v>
      </c>
      <c r="C6" s="290" t="s">
        <v>15</v>
      </c>
      <c r="D6" s="290">
        <v>47.24</v>
      </c>
      <c r="E6" s="291">
        <v>47.18</v>
      </c>
      <c r="F6" s="292">
        <v>261235660</v>
      </c>
      <c r="G6" s="302">
        <v>261235660</v>
      </c>
    </row>
    <row r="7" spans="1:7" ht="24.95" customHeight="1" x14ac:dyDescent="0.25">
      <c r="A7" s="293" t="s">
        <v>385</v>
      </c>
      <c r="B7" s="303" t="s">
        <v>142</v>
      </c>
      <c r="C7" s="304"/>
      <c r="D7" s="304"/>
      <c r="E7" s="305"/>
      <c r="F7" s="306">
        <v>30375800</v>
      </c>
      <c r="G7" s="307">
        <v>30375800</v>
      </c>
    </row>
    <row r="8" spans="1:7" ht="24.95" customHeight="1" x14ac:dyDescent="0.25">
      <c r="A8" s="293" t="s">
        <v>387</v>
      </c>
      <c r="B8" s="303" t="s">
        <v>143</v>
      </c>
      <c r="C8" s="304"/>
      <c r="D8" s="304"/>
      <c r="E8" s="305"/>
      <c r="F8" s="306">
        <v>72418200</v>
      </c>
      <c r="G8" s="307">
        <v>72418200</v>
      </c>
    </row>
    <row r="9" spans="1:7" ht="24.95" customHeight="1" x14ac:dyDescent="0.25">
      <c r="A9" s="293" t="s">
        <v>386</v>
      </c>
      <c r="B9" s="303" t="s">
        <v>144</v>
      </c>
      <c r="C9" s="304"/>
      <c r="D9" s="304"/>
      <c r="E9" s="305"/>
      <c r="F9" s="306">
        <v>19951465</v>
      </c>
      <c r="G9" s="307">
        <v>19951465</v>
      </c>
    </row>
    <row r="10" spans="1:7" ht="24.95" customHeight="1" x14ac:dyDescent="0.25">
      <c r="A10" s="293" t="s">
        <v>388</v>
      </c>
      <c r="B10" s="303" t="s">
        <v>145</v>
      </c>
      <c r="C10" s="304"/>
      <c r="D10" s="304"/>
      <c r="E10" s="305"/>
      <c r="F10" s="306">
        <v>31405742</v>
      </c>
      <c r="G10" s="307">
        <v>31405742</v>
      </c>
    </row>
    <row r="11" spans="1:7" ht="24.95" customHeight="1" x14ac:dyDescent="0.25">
      <c r="A11" s="293" t="s">
        <v>390</v>
      </c>
      <c r="B11" s="303" t="s">
        <v>261</v>
      </c>
      <c r="C11" s="304"/>
      <c r="D11" s="304"/>
      <c r="E11" s="305"/>
      <c r="F11" s="306">
        <v>68000800</v>
      </c>
      <c r="G11" s="307">
        <v>68000800</v>
      </c>
    </row>
    <row r="12" spans="1:7" ht="24.95" customHeight="1" x14ac:dyDescent="0.25">
      <c r="A12" s="293" t="s">
        <v>389</v>
      </c>
      <c r="B12" s="303" t="s">
        <v>164</v>
      </c>
      <c r="C12" s="304"/>
      <c r="D12" s="304"/>
      <c r="E12" s="305"/>
      <c r="F12" s="306">
        <v>1876500</v>
      </c>
      <c r="G12" s="307">
        <v>1876500</v>
      </c>
    </row>
    <row r="13" spans="1:7" ht="24.95" customHeight="1" x14ac:dyDescent="0.25">
      <c r="A13" s="293" t="s">
        <v>414</v>
      </c>
      <c r="B13" s="303" t="s">
        <v>432</v>
      </c>
      <c r="C13" s="304" t="s">
        <v>485</v>
      </c>
      <c r="D13" s="304">
        <v>150</v>
      </c>
      <c r="E13" s="305">
        <v>150</v>
      </c>
      <c r="F13" s="306">
        <v>15000</v>
      </c>
      <c r="G13" s="307">
        <f>15000+5000+8000</f>
        <v>28000</v>
      </c>
    </row>
    <row r="14" spans="1:7" ht="24.95" customHeight="1" x14ac:dyDescent="0.25">
      <c r="A14" s="288"/>
      <c r="B14" s="308" t="s">
        <v>467</v>
      </c>
      <c r="C14" s="309"/>
      <c r="D14" s="309"/>
      <c r="E14" s="310"/>
      <c r="F14" s="311">
        <f>SUM(F7:F13)</f>
        <v>224043507</v>
      </c>
      <c r="G14" s="312">
        <f>SUM(G7:G13)</f>
        <v>224056507</v>
      </c>
    </row>
    <row r="15" spans="1:7" ht="24.95" customHeight="1" x14ac:dyDescent="0.25">
      <c r="A15" s="313"/>
      <c r="B15" s="303"/>
      <c r="C15" s="304"/>
      <c r="D15" s="304"/>
      <c r="E15" s="314"/>
      <c r="F15" s="306"/>
      <c r="G15" s="307"/>
    </row>
    <row r="16" spans="1:7" ht="24.95" customHeight="1" x14ac:dyDescent="0.25">
      <c r="A16" s="315" t="s">
        <v>406</v>
      </c>
      <c r="B16" s="308" t="s">
        <v>262</v>
      </c>
      <c r="C16" s="309"/>
      <c r="D16" s="309"/>
      <c r="E16" s="316"/>
      <c r="F16" s="311">
        <f>F6+F14</f>
        <v>485279167</v>
      </c>
      <c r="G16" s="312">
        <f>G6+G14</f>
        <v>485292167</v>
      </c>
    </row>
    <row r="17" spans="1:7" ht="24.95" customHeight="1" x14ac:dyDescent="0.25">
      <c r="A17" s="313" t="s">
        <v>433</v>
      </c>
      <c r="B17" s="303" t="s">
        <v>147</v>
      </c>
      <c r="C17" s="304" t="s">
        <v>15</v>
      </c>
      <c r="D17" s="317">
        <v>67.599999999999994</v>
      </c>
      <c r="E17" s="317">
        <v>65.599999999999994</v>
      </c>
      <c r="F17" s="306">
        <v>345246240</v>
      </c>
      <c r="G17" s="307">
        <f>345246240+5347650+1980000+5347650</f>
        <v>357921540</v>
      </c>
    </row>
    <row r="18" spans="1:7" ht="24.95" customHeight="1" x14ac:dyDescent="0.25">
      <c r="A18" s="313" t="s">
        <v>504</v>
      </c>
      <c r="B18" s="303" t="s">
        <v>169</v>
      </c>
      <c r="C18" s="304" t="s">
        <v>15</v>
      </c>
      <c r="D18" s="317">
        <v>46</v>
      </c>
      <c r="E18" s="317">
        <v>46</v>
      </c>
      <c r="F18" s="306">
        <v>178388000</v>
      </c>
      <c r="G18" s="307">
        <v>178388000</v>
      </c>
    </row>
    <row r="19" spans="1:7" ht="24.95" customHeight="1" x14ac:dyDescent="0.25">
      <c r="A19" s="313" t="s">
        <v>503</v>
      </c>
      <c r="B19" s="303" t="s">
        <v>148</v>
      </c>
      <c r="C19" s="304" t="s">
        <v>16</v>
      </c>
      <c r="D19" s="317">
        <v>767.3</v>
      </c>
      <c r="E19" s="317">
        <v>746.7</v>
      </c>
      <c r="F19" s="306">
        <v>97071000</v>
      </c>
      <c r="G19" s="307">
        <f>97071000+1463000+1067000</f>
        <v>99601000</v>
      </c>
    </row>
    <row r="20" spans="1:7" ht="24.95" customHeight="1" x14ac:dyDescent="0.25">
      <c r="A20" s="313" t="s">
        <v>502</v>
      </c>
      <c r="B20" s="303" t="s">
        <v>263</v>
      </c>
      <c r="C20" s="304" t="s">
        <v>264</v>
      </c>
      <c r="D20" s="317">
        <v>21</v>
      </c>
      <c r="E20" s="317">
        <v>21</v>
      </c>
      <c r="F20" s="306">
        <v>9821490</v>
      </c>
      <c r="G20" s="307">
        <v>9821490</v>
      </c>
    </row>
    <row r="21" spans="1:7" s="7" customFormat="1" ht="24.95" customHeight="1" x14ac:dyDescent="0.25">
      <c r="A21" s="315" t="s">
        <v>407</v>
      </c>
      <c r="B21" s="308" t="s">
        <v>265</v>
      </c>
      <c r="C21" s="309"/>
      <c r="D21" s="309"/>
      <c r="E21" s="316"/>
      <c r="F21" s="311">
        <f>SUM(F17:F20)</f>
        <v>630526730</v>
      </c>
      <c r="G21" s="312">
        <f>SUM(G17:G20)</f>
        <v>645732030</v>
      </c>
    </row>
    <row r="22" spans="1:7" s="8" customFormat="1" ht="24.95" customHeight="1" x14ac:dyDescent="0.25">
      <c r="A22" s="313" t="s">
        <v>397</v>
      </c>
      <c r="B22" s="303" t="s">
        <v>162</v>
      </c>
      <c r="C22" s="304"/>
      <c r="D22" s="304"/>
      <c r="E22" s="318"/>
      <c r="F22" s="306">
        <v>0</v>
      </c>
      <c r="G22" s="307">
        <v>0</v>
      </c>
    </row>
    <row r="23" spans="1:7" s="72" customFormat="1" ht="24.95" customHeight="1" x14ac:dyDescent="0.25">
      <c r="A23" s="313" t="s">
        <v>398</v>
      </c>
      <c r="B23" s="303" t="s">
        <v>163</v>
      </c>
      <c r="C23" s="304"/>
      <c r="D23" s="304"/>
      <c r="E23" s="318"/>
      <c r="F23" s="306">
        <f>SUM(F24:F30)</f>
        <v>215276385</v>
      </c>
      <c r="G23" s="307">
        <f>SUM(G24:G30)</f>
        <v>228156505</v>
      </c>
    </row>
    <row r="24" spans="1:7" ht="24.95" customHeight="1" x14ac:dyDescent="0.25">
      <c r="A24" s="319" t="s">
        <v>400</v>
      </c>
      <c r="B24" s="320" t="s">
        <v>342</v>
      </c>
      <c r="C24" s="321"/>
      <c r="D24" s="321"/>
      <c r="E24" s="322"/>
      <c r="F24" s="323">
        <v>25644700</v>
      </c>
      <c r="G24" s="324">
        <v>25644700</v>
      </c>
    </row>
    <row r="25" spans="1:7" s="7" customFormat="1" ht="24.95" customHeight="1" x14ac:dyDescent="0.25">
      <c r="A25" s="319" t="s">
        <v>399</v>
      </c>
      <c r="B25" s="320" t="s">
        <v>299</v>
      </c>
      <c r="C25" s="321"/>
      <c r="D25" s="321"/>
      <c r="E25" s="322"/>
      <c r="F25" s="323">
        <v>36329775</v>
      </c>
      <c r="G25" s="324">
        <v>36329775</v>
      </c>
    </row>
    <row r="26" spans="1:7" s="7" customFormat="1" ht="24.95" customHeight="1" x14ac:dyDescent="0.25">
      <c r="A26" s="319" t="s">
        <v>401</v>
      </c>
      <c r="B26" s="320" t="s">
        <v>170</v>
      </c>
      <c r="C26" s="321" t="s">
        <v>15</v>
      </c>
      <c r="D26" s="322">
        <v>790</v>
      </c>
      <c r="E26" s="322">
        <v>765</v>
      </c>
      <c r="F26" s="323">
        <v>62110350</v>
      </c>
      <c r="G26" s="324">
        <f>62110350+298360+1790160</f>
        <v>64198870</v>
      </c>
    </row>
    <row r="27" spans="1:7" s="7" customFormat="1" ht="24.95" customHeight="1" x14ac:dyDescent="0.25">
      <c r="A27" s="319" t="s">
        <v>402</v>
      </c>
      <c r="B27" s="320" t="s">
        <v>343</v>
      </c>
      <c r="C27" s="321" t="s">
        <v>15</v>
      </c>
      <c r="D27" s="322">
        <v>4</v>
      </c>
      <c r="E27" s="322">
        <v>3</v>
      </c>
      <c r="F27" s="323">
        <v>75000</v>
      </c>
      <c r="G27" s="324">
        <f>75000-25000</f>
        <v>50000</v>
      </c>
    </row>
    <row r="28" spans="1:7" s="10" customFormat="1" ht="24.95" customHeight="1" x14ac:dyDescent="0.25">
      <c r="A28" s="319" t="s">
        <v>403</v>
      </c>
      <c r="B28" s="320" t="s">
        <v>344</v>
      </c>
      <c r="C28" s="321" t="s">
        <v>15</v>
      </c>
      <c r="D28" s="322">
        <v>92</v>
      </c>
      <c r="E28" s="322">
        <v>85</v>
      </c>
      <c r="F28" s="323">
        <v>51176800</v>
      </c>
      <c r="G28" s="324">
        <f>51176800+4954800+2477400</f>
        <v>58609000</v>
      </c>
    </row>
    <row r="29" spans="1:7" ht="24.95" customHeight="1" x14ac:dyDescent="0.25">
      <c r="A29" s="319" t="s">
        <v>404</v>
      </c>
      <c r="B29" s="320" t="s">
        <v>165</v>
      </c>
      <c r="C29" s="321" t="s">
        <v>15</v>
      </c>
      <c r="D29" s="322">
        <v>53</v>
      </c>
      <c r="E29" s="322">
        <v>52</v>
      </c>
      <c r="F29" s="323">
        <v>22044880</v>
      </c>
      <c r="G29" s="324">
        <f>22044880+2369080+1015320</f>
        <v>25429280</v>
      </c>
    </row>
    <row r="30" spans="1:7" ht="24.95" customHeight="1" x14ac:dyDescent="0.25">
      <c r="A30" s="319" t="s">
        <v>405</v>
      </c>
      <c r="B30" s="320" t="s">
        <v>301</v>
      </c>
      <c r="C30" s="321" t="s">
        <v>345</v>
      </c>
      <c r="D30" s="322">
        <v>12</v>
      </c>
      <c r="E30" s="322">
        <v>12</v>
      </c>
      <c r="F30" s="323">
        <v>17894880</v>
      </c>
      <c r="G30" s="324">
        <v>17894880</v>
      </c>
    </row>
    <row r="31" spans="1:7" s="72" customFormat="1" ht="24.95" customHeight="1" x14ac:dyDescent="0.25">
      <c r="A31" s="313" t="s">
        <v>417</v>
      </c>
      <c r="B31" s="303" t="s">
        <v>416</v>
      </c>
      <c r="C31" s="304"/>
      <c r="D31" s="318"/>
      <c r="E31" s="318"/>
      <c r="F31" s="306">
        <f>SUM(F32:F33)</f>
        <v>118817000</v>
      </c>
      <c r="G31" s="307">
        <f>SUM(G32:G33)</f>
        <v>129349000</v>
      </c>
    </row>
    <row r="32" spans="1:7" ht="24.95" customHeight="1" x14ac:dyDescent="0.25">
      <c r="A32" s="319" t="s">
        <v>396</v>
      </c>
      <c r="B32" s="320" t="s">
        <v>340</v>
      </c>
      <c r="C32" s="321" t="s">
        <v>15</v>
      </c>
      <c r="D32" s="322">
        <f>4.6+11.6</f>
        <v>16.2</v>
      </c>
      <c r="E32" s="322">
        <v>17.600000000000001</v>
      </c>
      <c r="F32" s="323">
        <v>105199000</v>
      </c>
      <c r="G32" s="324">
        <f>105199000+5538000+2550000-2130000</f>
        <v>111157000</v>
      </c>
    </row>
    <row r="33" spans="1:7" ht="24.95" customHeight="1" x14ac:dyDescent="0.25">
      <c r="A33" s="319" t="s">
        <v>395</v>
      </c>
      <c r="B33" s="320" t="s">
        <v>341</v>
      </c>
      <c r="C33" s="321"/>
      <c r="D33" s="322"/>
      <c r="E33" s="322"/>
      <c r="F33" s="323">
        <v>13618000</v>
      </c>
      <c r="G33" s="324">
        <f>13618000-3069000+7643000</f>
        <v>18192000</v>
      </c>
    </row>
    <row r="34" spans="1:7" ht="24.95" customHeight="1" x14ac:dyDescent="0.25">
      <c r="A34" s="313" t="s">
        <v>468</v>
      </c>
      <c r="B34" s="303" t="s">
        <v>469</v>
      </c>
      <c r="C34" s="304" t="s">
        <v>15</v>
      </c>
      <c r="D34" s="318">
        <v>0.08</v>
      </c>
      <c r="E34" s="318">
        <v>0.08</v>
      </c>
      <c r="F34" s="306"/>
      <c r="G34" s="307"/>
    </row>
    <row r="35" spans="1:7" s="7" customFormat="1" ht="24.95" customHeight="1" x14ac:dyDescent="0.25">
      <c r="A35" s="315" t="s">
        <v>408</v>
      </c>
      <c r="B35" s="308" t="s">
        <v>268</v>
      </c>
      <c r="C35" s="309"/>
      <c r="D35" s="309"/>
      <c r="E35" s="316"/>
      <c r="F35" s="311">
        <f>F22+F23+F31</f>
        <v>334093385</v>
      </c>
      <c r="G35" s="312">
        <f>G22+G23+G31+G34</f>
        <v>357505505</v>
      </c>
    </row>
    <row r="36" spans="1:7" s="63" customFormat="1" ht="24.95" customHeight="1" x14ac:dyDescent="0.25">
      <c r="A36" s="313" t="s">
        <v>392</v>
      </c>
      <c r="B36" s="303" t="s">
        <v>266</v>
      </c>
      <c r="C36" s="304" t="s">
        <v>15</v>
      </c>
      <c r="D36" s="318">
        <v>40.64</v>
      </c>
      <c r="E36" s="318">
        <v>39.96</v>
      </c>
      <c r="F36" s="306">
        <v>107903988</v>
      </c>
      <c r="G36" s="307">
        <f>107903988-268620+976800</f>
        <v>108612168</v>
      </c>
    </row>
    <row r="37" spans="1:7" s="63" customFormat="1" ht="24.95" customHeight="1" x14ac:dyDescent="0.25">
      <c r="A37" s="313" t="s">
        <v>393</v>
      </c>
      <c r="B37" s="303" t="s">
        <v>267</v>
      </c>
      <c r="C37" s="304"/>
      <c r="D37" s="318"/>
      <c r="E37" s="318"/>
      <c r="F37" s="306">
        <v>174000351</v>
      </c>
      <c r="G37" s="307">
        <f>174000351-20584495+19905627</f>
        <v>173321483</v>
      </c>
    </row>
    <row r="38" spans="1:7" s="63" customFormat="1" ht="24.95" customHeight="1" x14ac:dyDescent="0.25">
      <c r="A38" s="313" t="s">
        <v>394</v>
      </c>
      <c r="B38" s="303" t="s">
        <v>300</v>
      </c>
      <c r="C38" s="304" t="s">
        <v>15</v>
      </c>
      <c r="D38" s="318">
        <v>5380</v>
      </c>
      <c r="E38" s="318">
        <v>5785</v>
      </c>
      <c r="F38" s="306">
        <v>1978470</v>
      </c>
      <c r="G38" s="307">
        <f>1978470-2736-2394</f>
        <v>1973340</v>
      </c>
    </row>
    <row r="39" spans="1:7" ht="24.95" customHeight="1" x14ac:dyDescent="0.25">
      <c r="A39" s="315" t="s">
        <v>409</v>
      </c>
      <c r="B39" s="308" t="s">
        <v>410</v>
      </c>
      <c r="C39" s="309"/>
      <c r="D39" s="309"/>
      <c r="E39" s="316"/>
      <c r="F39" s="311">
        <f>SUM(F36:F38)</f>
        <v>283882809</v>
      </c>
      <c r="G39" s="312">
        <f>SUM(G36:G38)</f>
        <v>283906991</v>
      </c>
    </row>
    <row r="40" spans="1:7" ht="29.25" customHeight="1" x14ac:dyDescent="0.25">
      <c r="A40" s="313" t="s">
        <v>391</v>
      </c>
      <c r="B40" s="303" t="s">
        <v>149</v>
      </c>
      <c r="C40" s="325" t="s">
        <v>146</v>
      </c>
      <c r="D40" s="314">
        <v>23880</v>
      </c>
      <c r="E40" s="314">
        <v>23880</v>
      </c>
      <c r="F40" s="306">
        <v>53744918</v>
      </c>
      <c r="G40" s="307">
        <v>53744918</v>
      </c>
    </row>
    <row r="41" spans="1:7" ht="24.95" customHeight="1" x14ac:dyDescent="0.25">
      <c r="A41" s="313"/>
      <c r="B41" s="303"/>
      <c r="C41" s="304"/>
      <c r="D41" s="304"/>
      <c r="E41" s="314"/>
      <c r="F41" s="306"/>
      <c r="G41" s="307"/>
    </row>
    <row r="42" spans="1:7" ht="24.95" customHeight="1" x14ac:dyDescent="0.25">
      <c r="A42" s="315" t="s">
        <v>411</v>
      </c>
      <c r="B42" s="308" t="s">
        <v>269</v>
      </c>
      <c r="C42" s="309"/>
      <c r="D42" s="309"/>
      <c r="E42" s="316"/>
      <c r="F42" s="311">
        <f>SUM(F40:F40)</f>
        <v>53744918</v>
      </c>
      <c r="G42" s="312">
        <f>SUM(G40:G41)</f>
        <v>53744918</v>
      </c>
    </row>
    <row r="43" spans="1:7" ht="24.95" customHeight="1" x14ac:dyDescent="0.25">
      <c r="A43" s="601" t="s">
        <v>413</v>
      </c>
      <c r="B43" s="602"/>
      <c r="C43" s="602"/>
      <c r="D43" s="602"/>
      <c r="E43" s="603"/>
      <c r="F43" s="311">
        <f>F39+F21+F16+F42+F35</f>
        <v>1787527009</v>
      </c>
      <c r="G43" s="312">
        <f>G39+G21+G16+G42+G35</f>
        <v>1826181611</v>
      </c>
    </row>
    <row r="44" spans="1:7" ht="24.75" customHeight="1" x14ac:dyDescent="0.25">
      <c r="A44" s="326" t="s">
        <v>412</v>
      </c>
      <c r="B44" s="327" t="s">
        <v>470</v>
      </c>
      <c r="C44" s="328"/>
      <c r="D44" s="328"/>
      <c r="E44" s="329"/>
      <c r="F44" s="330">
        <v>-168604878</v>
      </c>
      <c r="G44" s="331">
        <v>-168604878</v>
      </c>
    </row>
    <row r="45" spans="1:7" ht="35.25" customHeight="1" x14ac:dyDescent="0.25">
      <c r="A45" s="601" t="s">
        <v>418</v>
      </c>
      <c r="B45" s="602"/>
      <c r="C45" s="602"/>
      <c r="D45" s="602"/>
      <c r="E45" s="603"/>
      <c r="F45" s="311"/>
      <c r="G45" s="312"/>
    </row>
    <row r="46" spans="1:7" ht="24.95" customHeight="1" x14ac:dyDescent="0.25">
      <c r="A46" s="313" t="s">
        <v>422</v>
      </c>
      <c r="B46" s="303" t="s">
        <v>421</v>
      </c>
      <c r="C46" s="304"/>
      <c r="D46" s="304"/>
      <c r="E46" s="314"/>
      <c r="F46" s="306"/>
      <c r="G46" s="307">
        <f>44117410+26646699</f>
        <v>70764109</v>
      </c>
    </row>
    <row r="47" spans="1:7" ht="24.95" customHeight="1" x14ac:dyDescent="0.25">
      <c r="A47" s="313" t="s">
        <v>426</v>
      </c>
      <c r="B47" s="303" t="s">
        <v>427</v>
      </c>
      <c r="C47" s="304" t="s">
        <v>486</v>
      </c>
      <c r="D47" s="304"/>
      <c r="E47" s="314">
        <f>5164+479</f>
        <v>5643</v>
      </c>
      <c r="F47" s="306">
        <v>21603736</v>
      </c>
      <c r="G47" s="307">
        <v>21603736</v>
      </c>
    </row>
    <row r="48" spans="1:7" ht="24.95" customHeight="1" x14ac:dyDescent="0.25">
      <c r="A48" s="313" t="s">
        <v>423</v>
      </c>
      <c r="B48" s="303" t="s">
        <v>428</v>
      </c>
      <c r="C48" s="304"/>
      <c r="D48" s="304"/>
      <c r="E48" s="314"/>
      <c r="F48" s="306">
        <v>16700000</v>
      </c>
      <c r="G48" s="307">
        <v>16700000</v>
      </c>
    </row>
    <row r="49" spans="1:7" ht="24.95" customHeight="1" x14ac:dyDescent="0.25">
      <c r="A49" s="313" t="s">
        <v>424</v>
      </c>
      <c r="B49" s="303" t="s">
        <v>425</v>
      </c>
      <c r="C49" s="304"/>
      <c r="D49" s="304"/>
      <c r="E49" s="314"/>
      <c r="F49" s="306"/>
      <c r="G49" s="307"/>
    </row>
    <row r="50" spans="1:7" ht="24.95" customHeight="1" x14ac:dyDescent="0.25">
      <c r="A50" s="313"/>
      <c r="B50" s="303"/>
      <c r="C50" s="304"/>
      <c r="D50" s="304"/>
      <c r="E50" s="314"/>
      <c r="F50" s="306"/>
      <c r="G50" s="307"/>
    </row>
    <row r="51" spans="1:7" ht="24.95" customHeight="1" x14ac:dyDescent="0.25">
      <c r="A51" s="313"/>
      <c r="B51" s="303"/>
      <c r="C51" s="304"/>
      <c r="D51" s="304"/>
      <c r="E51" s="314"/>
      <c r="F51" s="306"/>
      <c r="G51" s="307"/>
    </row>
    <row r="52" spans="1:7" ht="24.95" customHeight="1" x14ac:dyDescent="0.25">
      <c r="A52" s="313"/>
      <c r="B52" s="303"/>
      <c r="C52" s="304"/>
      <c r="D52" s="304"/>
      <c r="E52" s="314"/>
      <c r="F52" s="306"/>
      <c r="G52" s="307"/>
    </row>
    <row r="53" spans="1:7" ht="24.95" customHeight="1" thickBot="1" x14ac:dyDescent="0.3">
      <c r="A53" s="604" t="s">
        <v>420</v>
      </c>
      <c r="B53" s="605"/>
      <c r="C53" s="605"/>
      <c r="D53" s="605"/>
      <c r="E53" s="606"/>
      <c r="F53" s="332">
        <f>SUM(F46:F52)</f>
        <v>38303736</v>
      </c>
      <c r="G53" s="333">
        <f t="shared" ref="G53" si="0">SUM(G46:G52)</f>
        <v>109067845</v>
      </c>
    </row>
    <row r="54" spans="1:7" ht="24.95" customHeight="1" thickBot="1" x14ac:dyDescent="0.3">
      <c r="A54" s="607" t="s">
        <v>415</v>
      </c>
      <c r="B54" s="608"/>
      <c r="C54" s="608"/>
      <c r="D54" s="608"/>
      <c r="E54" s="608"/>
      <c r="F54" s="294">
        <f t="shared" ref="F54:G54" si="1">F43+F53</f>
        <v>1825830745</v>
      </c>
      <c r="G54" s="334">
        <f t="shared" si="1"/>
        <v>1935249456</v>
      </c>
    </row>
    <row r="55" spans="1:7" ht="15" customHeight="1" thickTop="1" x14ac:dyDescent="0.2"/>
  </sheetData>
  <mergeCells count="5">
    <mergeCell ref="A5:E5"/>
    <mergeCell ref="A43:E43"/>
    <mergeCell ref="A53:E53"/>
    <mergeCell ref="A54:E54"/>
    <mergeCell ref="A45:E45"/>
  </mergeCells>
  <phoneticPr fontId="25" type="noConversion"/>
  <printOptions horizontalCentered="1"/>
  <pageMargins left="0.35433070866141736" right="0.43307086614173229" top="1.0236220472440944" bottom="0.39370078740157483" header="0.55118110236220474" footer="0.43307086614173229"/>
  <pageSetup paperSize="8" scale="51" pageOrder="overThenDown" orientation="portrait" r:id="rId1"/>
  <headerFooter alignWithMargins="0">
    <oddHeader>&amp;C&amp;"Times New Roman,Félkövér"&amp;16Normatív állami hozzájárulások
&amp;"Times New Roman,Normál"&amp;12/adatok forintban/&amp;R&amp;"Times New Roman,Normál"&amp;12 6. sz. melléklet</oddHeader>
    <oddFooter xml:space="preserve">&amp;R 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D33"/>
  <sheetViews>
    <sheetView topLeftCell="A22" zoomScale="130" zoomScaleNormal="130" workbookViewId="0">
      <selection activeCell="G48" sqref="G48"/>
    </sheetView>
  </sheetViews>
  <sheetFormatPr defaultRowHeight="12.75" x14ac:dyDescent="0.2"/>
  <cols>
    <col min="1" max="1" width="7.85546875" style="55" customWidth="1"/>
    <col min="2" max="2" width="41.7109375" customWidth="1"/>
    <col min="3" max="4" width="12.7109375" customWidth="1"/>
  </cols>
  <sheetData>
    <row r="1" spans="1:4" ht="16.5" thickTop="1" x14ac:dyDescent="0.2">
      <c r="A1" s="610" t="s">
        <v>181</v>
      </c>
      <c r="B1" s="582" t="s">
        <v>56</v>
      </c>
      <c r="C1" s="584" t="s">
        <v>103</v>
      </c>
      <c r="D1" s="609"/>
    </row>
    <row r="2" spans="1:4" ht="16.5" thickBot="1" x14ac:dyDescent="0.25">
      <c r="A2" s="611"/>
      <c r="B2" s="588"/>
      <c r="C2" s="335" t="s">
        <v>521</v>
      </c>
      <c r="D2" s="336" t="s">
        <v>522</v>
      </c>
    </row>
    <row r="3" spans="1:4" s="1" customFormat="1" ht="21.75" customHeight="1" x14ac:dyDescent="0.2">
      <c r="A3" s="226"/>
      <c r="B3" s="337" t="s">
        <v>125</v>
      </c>
      <c r="C3" s="338"/>
      <c r="D3" s="339"/>
    </row>
    <row r="4" spans="1:4" ht="21.75" customHeight="1" x14ac:dyDescent="0.2">
      <c r="A4" s="340" t="s">
        <v>206</v>
      </c>
      <c r="B4" s="277" t="s">
        <v>104</v>
      </c>
      <c r="C4" s="341">
        <f>8317+1000</f>
        <v>9317</v>
      </c>
      <c r="D4" s="342">
        <f>8317+1000</f>
        <v>9317</v>
      </c>
    </row>
    <row r="5" spans="1:4" ht="21.75" customHeight="1" x14ac:dyDescent="0.2">
      <c r="A5" s="340" t="s">
        <v>207</v>
      </c>
      <c r="B5" s="277" t="s">
        <v>437</v>
      </c>
      <c r="C5" s="341">
        <v>1131</v>
      </c>
      <c r="D5" s="342">
        <v>1131</v>
      </c>
    </row>
    <row r="6" spans="1:4" ht="21.75" customHeight="1" x14ac:dyDescent="0.2">
      <c r="A6" s="340" t="s">
        <v>208</v>
      </c>
      <c r="B6" s="277" t="s">
        <v>182</v>
      </c>
      <c r="C6" s="341">
        <v>15000</v>
      </c>
      <c r="D6" s="342">
        <v>15000</v>
      </c>
    </row>
    <row r="7" spans="1:4" ht="21.75" customHeight="1" x14ac:dyDescent="0.2">
      <c r="A7" s="340" t="s">
        <v>209</v>
      </c>
      <c r="B7" s="277" t="s">
        <v>4</v>
      </c>
      <c r="C7" s="343">
        <v>1800</v>
      </c>
      <c r="D7" s="344">
        <f>1800+505</f>
        <v>2305</v>
      </c>
    </row>
    <row r="8" spans="1:4" ht="21.75" customHeight="1" x14ac:dyDescent="0.2">
      <c r="A8" s="340"/>
      <c r="B8" s="277" t="s">
        <v>593</v>
      </c>
      <c r="C8" s="343"/>
      <c r="D8" s="344"/>
    </row>
    <row r="9" spans="1:4" ht="21.75" customHeight="1" x14ac:dyDescent="0.2">
      <c r="A9" s="340"/>
      <c r="B9" s="277"/>
      <c r="C9" s="345"/>
      <c r="D9" s="346"/>
    </row>
    <row r="10" spans="1:4" s="1" customFormat="1" ht="21.75" customHeight="1" x14ac:dyDescent="0.2">
      <c r="A10" s="340"/>
      <c r="B10" s="347" t="s">
        <v>126</v>
      </c>
      <c r="C10" s="338">
        <f>SUM(C4:C9)</f>
        <v>27248</v>
      </c>
      <c r="D10" s="348">
        <f>SUM(D4:D9)</f>
        <v>27753</v>
      </c>
    </row>
    <row r="11" spans="1:4" s="1" customFormat="1" ht="21.75" customHeight="1" x14ac:dyDescent="0.2">
      <c r="A11" s="340"/>
      <c r="B11" s="347"/>
      <c r="C11" s="338"/>
      <c r="D11" s="348"/>
    </row>
    <row r="12" spans="1:4" s="1" customFormat="1" ht="21.75" customHeight="1" x14ac:dyDescent="0.2">
      <c r="A12" s="340"/>
      <c r="B12" s="337" t="s">
        <v>127</v>
      </c>
      <c r="C12" s="338"/>
      <c r="D12" s="348"/>
    </row>
    <row r="13" spans="1:4" s="5" customFormat="1" ht="21.75" customHeight="1" x14ac:dyDescent="0.2">
      <c r="A13" s="340" t="s">
        <v>196</v>
      </c>
      <c r="B13" s="277" t="s">
        <v>3</v>
      </c>
      <c r="C13" s="341">
        <v>86680</v>
      </c>
      <c r="D13" s="342">
        <f>18370+24320+18630+25360+500</f>
        <v>87180</v>
      </c>
    </row>
    <row r="14" spans="1:4" s="5" customFormat="1" ht="21.75" customHeight="1" x14ac:dyDescent="0.2">
      <c r="A14" s="340" t="s">
        <v>197</v>
      </c>
      <c r="B14" s="277" t="s">
        <v>5</v>
      </c>
      <c r="C14" s="341">
        <f>198000+114000</f>
        <v>312000</v>
      </c>
      <c r="D14" s="342">
        <f>198000+114000</f>
        <v>312000</v>
      </c>
    </row>
    <row r="15" spans="1:4" s="5" customFormat="1" ht="21.75" customHeight="1" x14ac:dyDescent="0.2">
      <c r="A15" s="340" t="s">
        <v>198</v>
      </c>
      <c r="B15" s="349" t="s">
        <v>116</v>
      </c>
      <c r="C15" s="341">
        <v>20000</v>
      </c>
      <c r="D15" s="342">
        <v>20000</v>
      </c>
    </row>
    <row r="16" spans="1:4" s="5" customFormat="1" ht="21.75" customHeight="1" x14ac:dyDescent="0.2">
      <c r="A16" s="340" t="s">
        <v>199</v>
      </c>
      <c r="B16" s="349" t="s">
        <v>114</v>
      </c>
      <c r="C16" s="341">
        <v>17145</v>
      </c>
      <c r="D16" s="342">
        <f>17145+13355</f>
        <v>30500</v>
      </c>
    </row>
    <row r="17" spans="1:4" s="5" customFormat="1" ht="21.75" customHeight="1" x14ac:dyDescent="0.2">
      <c r="A17" s="340" t="s">
        <v>213</v>
      </c>
      <c r="B17" s="349" t="s">
        <v>115</v>
      </c>
      <c r="C17" s="341">
        <f>17145</f>
        <v>17145</v>
      </c>
      <c r="D17" s="342">
        <f>17145+19205</f>
        <v>36350</v>
      </c>
    </row>
    <row r="18" spans="1:4" s="5" customFormat="1" ht="21.75" customHeight="1" x14ac:dyDescent="0.2">
      <c r="A18" s="340" t="s">
        <v>591</v>
      </c>
      <c r="B18" s="349" t="s">
        <v>592</v>
      </c>
      <c r="C18" s="341"/>
      <c r="D18" s="342">
        <v>6000</v>
      </c>
    </row>
    <row r="19" spans="1:4" s="5" customFormat="1" ht="21.75" customHeight="1" x14ac:dyDescent="0.2">
      <c r="A19" s="340" t="s">
        <v>613</v>
      </c>
      <c r="B19" s="349" t="s">
        <v>615</v>
      </c>
      <c r="C19" s="341"/>
      <c r="D19" s="342">
        <v>18669</v>
      </c>
    </row>
    <row r="20" spans="1:4" s="5" customFormat="1" ht="21.75" customHeight="1" x14ac:dyDescent="0.2">
      <c r="A20" s="340" t="s">
        <v>214</v>
      </c>
      <c r="B20" s="349" t="s">
        <v>138</v>
      </c>
      <c r="C20" s="341">
        <v>4000</v>
      </c>
      <c r="D20" s="342">
        <v>4000</v>
      </c>
    </row>
    <row r="21" spans="1:4" s="5" customFormat="1" ht="21.75" customHeight="1" x14ac:dyDescent="0.2">
      <c r="A21" s="340" t="s">
        <v>215</v>
      </c>
      <c r="B21" s="349" t="s">
        <v>286</v>
      </c>
      <c r="C21" s="343">
        <v>5000</v>
      </c>
      <c r="D21" s="344">
        <v>5000</v>
      </c>
    </row>
    <row r="22" spans="1:4" s="5" customFormat="1" ht="21.75" customHeight="1" x14ac:dyDescent="0.2">
      <c r="A22" s="340" t="s">
        <v>217</v>
      </c>
      <c r="B22" s="349" t="s">
        <v>471</v>
      </c>
      <c r="C22" s="350">
        <v>2000</v>
      </c>
      <c r="D22" s="351">
        <v>2000</v>
      </c>
    </row>
    <row r="23" spans="1:4" s="5" customFormat="1" ht="21.75" customHeight="1" x14ac:dyDescent="0.2">
      <c r="A23" s="340" t="s">
        <v>218</v>
      </c>
      <c r="B23" s="349" t="s">
        <v>371</v>
      </c>
      <c r="C23" s="352">
        <v>3000</v>
      </c>
      <c r="D23" s="262">
        <v>3000</v>
      </c>
    </row>
    <row r="24" spans="1:4" s="5" customFormat="1" ht="21.75" customHeight="1" x14ac:dyDescent="0.2">
      <c r="A24" s="340" t="s">
        <v>219</v>
      </c>
      <c r="B24" s="353" t="s">
        <v>439</v>
      </c>
      <c r="C24" s="354">
        <v>1864</v>
      </c>
      <c r="D24" s="355">
        <v>1864</v>
      </c>
    </row>
    <row r="25" spans="1:4" s="5" customFormat="1" ht="21.75" customHeight="1" x14ac:dyDescent="0.2">
      <c r="A25" s="340" t="s">
        <v>220</v>
      </c>
      <c r="B25" s="353" t="s">
        <v>490</v>
      </c>
      <c r="C25" s="354">
        <v>10000</v>
      </c>
      <c r="D25" s="355">
        <v>10000</v>
      </c>
    </row>
    <row r="26" spans="1:4" s="5" customFormat="1" ht="21.75" customHeight="1" x14ac:dyDescent="0.2">
      <c r="A26" s="340" t="s">
        <v>221</v>
      </c>
      <c r="B26" s="353" t="s">
        <v>599</v>
      </c>
      <c r="C26" s="356"/>
      <c r="D26" s="357">
        <v>1500</v>
      </c>
    </row>
    <row r="27" spans="1:4" s="5" customFormat="1" ht="21.75" customHeight="1" x14ac:dyDescent="0.2">
      <c r="A27" s="340"/>
      <c r="B27" s="353"/>
      <c r="C27" s="354"/>
      <c r="D27" s="355"/>
    </row>
    <row r="28" spans="1:4" s="1" customFormat="1" ht="21.75" customHeight="1" x14ac:dyDescent="0.2">
      <c r="A28" s="340"/>
      <c r="B28" s="358" t="s">
        <v>128</v>
      </c>
      <c r="C28" s="359">
        <f>SUM(C13:C27)</f>
        <v>478834</v>
      </c>
      <c r="D28" s="360">
        <f>SUM(D13:D27)</f>
        <v>538063</v>
      </c>
    </row>
    <row r="29" spans="1:4" ht="21.75" customHeight="1" x14ac:dyDescent="0.2">
      <c r="A29" s="340"/>
      <c r="B29" s="358" t="s">
        <v>97</v>
      </c>
      <c r="C29" s="361"/>
      <c r="D29" s="362"/>
    </row>
    <row r="30" spans="1:4" ht="21.75" customHeight="1" x14ac:dyDescent="0.2">
      <c r="A30" s="340" t="s">
        <v>216</v>
      </c>
      <c r="B30" s="363" t="s">
        <v>99</v>
      </c>
      <c r="C30" s="361">
        <v>250</v>
      </c>
      <c r="D30" s="362">
        <v>250</v>
      </c>
    </row>
    <row r="31" spans="1:4" s="1" customFormat="1" ht="21.75" customHeight="1" thickBot="1" x14ac:dyDescent="0.25">
      <c r="A31" s="364"/>
      <c r="B31" s="358" t="s">
        <v>129</v>
      </c>
      <c r="C31" s="365">
        <f>SUM(C30:C30)</f>
        <v>250</v>
      </c>
      <c r="D31" s="366">
        <f>SUM(D30:D30)</f>
        <v>250</v>
      </c>
    </row>
    <row r="32" spans="1:4" s="1" customFormat="1" ht="21.75" customHeight="1" thickBot="1" x14ac:dyDescent="0.25">
      <c r="A32" s="230"/>
      <c r="B32" s="367" t="s">
        <v>183</v>
      </c>
      <c r="C32" s="368">
        <f>C10+C28+C30</f>
        <v>506332</v>
      </c>
      <c r="D32" s="369">
        <f>D10+D28+D30</f>
        <v>566066</v>
      </c>
    </row>
    <row r="33" ht="13.5" thickTop="1" x14ac:dyDescent="0.2"/>
  </sheetData>
  <mergeCells count="3">
    <mergeCell ref="B1:B2"/>
    <mergeCell ref="C1:D1"/>
    <mergeCell ref="A1:A2"/>
  </mergeCells>
  <phoneticPr fontId="0" type="noConversion"/>
  <printOptions horizontalCentered="1"/>
  <pageMargins left="0.94488188976377963" right="0.98425196850393704" top="2.0472440944881889" bottom="1.8110236220472442" header="0.86614173228346458" footer="1.0236220472440944"/>
  <pageSetup paperSize="8" scale="84" orientation="portrait" r:id="rId1"/>
  <headerFooter alignWithMargins="0">
    <oddHeader>&amp;C&amp;"Times New Roman CE,Félkövér"&amp;16
Vagyonhasznosítási bevételek&amp;"Times New Roman CE,Normál"&amp;18
&amp;11/ ezer Ft /&amp;R&amp;"Times New Roman,Normál"&amp;12 7. sz.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R29"/>
  <sheetViews>
    <sheetView zoomScale="50" zoomScaleNormal="50" workbookViewId="0">
      <pane xSplit="1" ySplit="2" topLeftCell="B3" activePane="bottomRight" state="frozen"/>
      <selection activeCell="L16" sqref="L16"/>
      <selection pane="topRight" activeCell="L16" sqref="L16"/>
      <selection pane="bottomLeft" activeCell="L16" sqref="L16"/>
      <selection pane="bottomRight" activeCell="A2" sqref="A2:Q26"/>
    </sheetView>
  </sheetViews>
  <sheetFormatPr defaultColWidth="9.140625" defaultRowHeight="12.75" x14ac:dyDescent="0.2"/>
  <cols>
    <col min="1" max="1" width="28.5703125" customWidth="1"/>
    <col min="2" max="2" width="9.85546875" bestFit="1" customWidth="1"/>
    <col min="3" max="3" width="8.5703125" customWidth="1"/>
    <col min="4" max="4" width="10" customWidth="1"/>
    <col min="5" max="5" width="8.42578125" customWidth="1"/>
    <col min="6" max="6" width="8" bestFit="1" customWidth="1"/>
    <col min="7" max="7" width="8" customWidth="1"/>
    <col min="8" max="8" width="8.140625" bestFit="1" customWidth="1"/>
    <col min="9" max="10" width="9.85546875" bestFit="1" customWidth="1"/>
    <col min="11" max="11" width="8.7109375" customWidth="1"/>
    <col min="12" max="12" width="9.42578125" customWidth="1"/>
    <col min="13" max="13" width="8.140625" bestFit="1" customWidth="1"/>
    <col min="14" max="14" width="7.140625" customWidth="1"/>
    <col min="15" max="15" width="8" customWidth="1"/>
    <col min="16" max="16" width="8.42578125" bestFit="1" customWidth="1"/>
    <col min="17" max="17" width="10.140625" customWidth="1"/>
  </cols>
  <sheetData>
    <row r="1" spans="1:18" ht="19.5" thickTop="1" x14ac:dyDescent="0.2">
      <c r="A1" s="370"/>
      <c r="B1" s="612" t="s">
        <v>523</v>
      </c>
      <c r="C1" s="613"/>
      <c r="D1" s="613"/>
      <c r="E1" s="613"/>
      <c r="F1" s="613"/>
      <c r="G1" s="613"/>
      <c r="H1" s="613"/>
      <c r="I1" s="613"/>
      <c r="J1" s="614" t="s">
        <v>524</v>
      </c>
      <c r="K1" s="613"/>
      <c r="L1" s="613"/>
      <c r="M1" s="613"/>
      <c r="N1" s="613"/>
      <c r="O1" s="613"/>
      <c r="P1" s="613"/>
      <c r="Q1" s="585"/>
    </row>
    <row r="2" spans="1:18" ht="72.75" customHeight="1" thickBot="1" x14ac:dyDescent="0.25">
      <c r="A2" s="371" t="s">
        <v>56</v>
      </c>
      <c r="B2" s="372" t="s">
        <v>67</v>
      </c>
      <c r="C2" s="373" t="s">
        <v>69</v>
      </c>
      <c r="D2" s="373" t="s">
        <v>70</v>
      </c>
      <c r="E2" s="373" t="s">
        <v>305</v>
      </c>
      <c r="F2" s="373" t="s">
        <v>72</v>
      </c>
      <c r="G2" s="373" t="s">
        <v>68</v>
      </c>
      <c r="H2" s="373" t="s">
        <v>73</v>
      </c>
      <c r="I2" s="373" t="s">
        <v>53</v>
      </c>
      <c r="J2" s="374" t="s">
        <v>67</v>
      </c>
      <c r="K2" s="373" t="s">
        <v>69</v>
      </c>
      <c r="L2" s="373" t="s">
        <v>70</v>
      </c>
      <c r="M2" s="373" t="s">
        <v>305</v>
      </c>
      <c r="N2" s="373" t="s">
        <v>72</v>
      </c>
      <c r="O2" s="373" t="s">
        <v>68</v>
      </c>
      <c r="P2" s="373" t="s">
        <v>73</v>
      </c>
      <c r="Q2" s="375" t="s">
        <v>53</v>
      </c>
    </row>
    <row r="3" spans="1:18" s="73" customFormat="1" ht="35.1" customHeight="1" x14ac:dyDescent="0.2">
      <c r="A3" s="376" t="s">
        <v>27</v>
      </c>
      <c r="B3" s="377">
        <f>866264-17271+7854+17271-7854+630+150</f>
        <v>867044</v>
      </c>
      <c r="C3" s="378">
        <f>123988-2246+1021+2246-1021+208+49</f>
        <v>124245</v>
      </c>
      <c r="D3" s="378">
        <v>106096</v>
      </c>
      <c r="E3" s="378"/>
      <c r="F3" s="378"/>
      <c r="G3" s="378"/>
      <c r="H3" s="378"/>
      <c r="I3" s="379">
        <f>SUM(B3:H3)</f>
        <v>1097385</v>
      </c>
      <c r="J3" s="377">
        <v>895577</v>
      </c>
      <c r="K3" s="378">
        <v>128333</v>
      </c>
      <c r="L3" s="378">
        <v>171432</v>
      </c>
      <c r="M3" s="378">
        <v>967</v>
      </c>
      <c r="N3" s="378"/>
      <c r="O3" s="378">
        <v>3903</v>
      </c>
      <c r="P3" s="378">
        <v>300</v>
      </c>
      <c r="Q3" s="380">
        <f>SUM(J3:P3)</f>
        <v>1200512</v>
      </c>
    </row>
    <row r="4" spans="1:18" ht="21" customHeight="1" x14ac:dyDescent="0.2">
      <c r="A4" s="381" t="s">
        <v>174</v>
      </c>
      <c r="B4" s="382"/>
      <c r="C4" s="383"/>
      <c r="D4" s="383"/>
      <c r="E4" s="383"/>
      <c r="F4" s="383"/>
      <c r="G4" s="383"/>
      <c r="H4" s="383"/>
      <c r="I4" s="384">
        <f>SUM(B4:H4)</f>
        <v>0</v>
      </c>
      <c r="J4" s="382"/>
      <c r="K4" s="383"/>
      <c r="L4" s="383">
        <v>0</v>
      </c>
      <c r="M4" s="383"/>
      <c r="N4" s="383"/>
      <c r="O4" s="383"/>
      <c r="P4" s="383"/>
      <c r="Q4" s="385">
        <f>SUM(J4:P4)</f>
        <v>0</v>
      </c>
    </row>
    <row r="5" spans="1:18" ht="20.25" customHeight="1" x14ac:dyDescent="0.2">
      <c r="A5" s="381" t="s">
        <v>173</v>
      </c>
      <c r="B5" s="382">
        <f t="shared" ref="B5:C5" si="0">B3-B4</f>
        <v>867044</v>
      </c>
      <c r="C5" s="383">
        <f t="shared" si="0"/>
        <v>124245</v>
      </c>
      <c r="D5" s="383">
        <f>D3-D4</f>
        <v>106096</v>
      </c>
      <c r="E5" s="383"/>
      <c r="F5" s="383"/>
      <c r="G5" s="383"/>
      <c r="H5" s="383"/>
      <c r="I5" s="386">
        <f>SUM(B5:H5)</f>
        <v>1097385</v>
      </c>
      <c r="J5" s="383">
        <f t="shared" ref="J5:P5" si="1">J3-J4</f>
        <v>895577</v>
      </c>
      <c r="K5" s="383">
        <f t="shared" si="1"/>
        <v>128333</v>
      </c>
      <c r="L5" s="383">
        <f t="shared" si="1"/>
        <v>171432</v>
      </c>
      <c r="M5" s="383">
        <f t="shared" si="1"/>
        <v>967</v>
      </c>
      <c r="N5" s="383">
        <f t="shared" si="1"/>
        <v>0</v>
      </c>
      <c r="O5" s="383">
        <f t="shared" si="1"/>
        <v>3903</v>
      </c>
      <c r="P5" s="383">
        <f t="shared" si="1"/>
        <v>300</v>
      </c>
      <c r="Q5" s="385">
        <f>SUM(J5:P5)</f>
        <v>1200512</v>
      </c>
    </row>
    <row r="6" spans="1:18" s="73" customFormat="1" ht="39.950000000000003" customHeight="1" x14ac:dyDescent="0.2">
      <c r="A6" s="376" t="s">
        <v>284</v>
      </c>
      <c r="B6" s="377">
        <v>543079</v>
      </c>
      <c r="C6" s="378">
        <v>86161</v>
      </c>
      <c r="D6" s="378">
        <v>54610</v>
      </c>
      <c r="E6" s="378"/>
      <c r="F6" s="378"/>
      <c r="G6" s="378">
        <v>2195</v>
      </c>
      <c r="H6" s="378"/>
      <c r="I6" s="387">
        <f>SUM(B6:H6)</f>
        <v>686045</v>
      </c>
      <c r="J6" s="377">
        <v>541832</v>
      </c>
      <c r="K6" s="378">
        <v>88147</v>
      </c>
      <c r="L6" s="378">
        <v>78128</v>
      </c>
      <c r="M6" s="378">
        <v>5442</v>
      </c>
      <c r="N6" s="378"/>
      <c r="O6" s="378">
        <v>11152</v>
      </c>
      <c r="P6" s="378"/>
      <c r="Q6" s="380">
        <f>SUM(J6:P6)</f>
        <v>724701</v>
      </c>
    </row>
    <row r="7" spans="1:18" ht="21" customHeight="1" x14ac:dyDescent="0.2">
      <c r="A7" s="381" t="s">
        <v>174</v>
      </c>
      <c r="B7" s="382">
        <f>B6-B8</f>
        <v>543079</v>
      </c>
      <c r="C7" s="383">
        <f>C6-C8</f>
        <v>86161</v>
      </c>
      <c r="D7" s="383">
        <f>D6-D8</f>
        <v>54610</v>
      </c>
      <c r="E7" s="383"/>
      <c r="F7" s="383"/>
      <c r="G7" s="383"/>
      <c r="H7" s="383"/>
      <c r="I7" s="388">
        <f>I6-I8</f>
        <v>686045</v>
      </c>
      <c r="J7" s="382">
        <f>J6-J8</f>
        <v>541832</v>
      </c>
      <c r="K7" s="383">
        <f>K6-K8</f>
        <v>88147</v>
      </c>
      <c r="L7" s="383">
        <f t="shared" ref="L7:P7" si="2">L6-L8</f>
        <v>78128</v>
      </c>
      <c r="M7" s="383">
        <f t="shared" si="2"/>
        <v>5442</v>
      </c>
      <c r="N7" s="383">
        <f t="shared" si="2"/>
        <v>0</v>
      </c>
      <c r="O7" s="383">
        <f t="shared" si="2"/>
        <v>11152</v>
      </c>
      <c r="P7" s="383">
        <f t="shared" si="2"/>
        <v>0</v>
      </c>
      <c r="Q7" s="389">
        <f t="shared" ref="Q7:Q21" si="3">SUM(J7:P7)</f>
        <v>724701</v>
      </c>
    </row>
    <row r="8" spans="1:18" ht="21" customHeight="1" x14ac:dyDescent="0.2">
      <c r="A8" s="381" t="s">
        <v>173</v>
      </c>
      <c r="B8" s="382"/>
      <c r="C8" s="383"/>
      <c r="D8" s="383"/>
      <c r="E8" s="383"/>
      <c r="F8" s="383"/>
      <c r="G8" s="383"/>
      <c r="H8" s="383"/>
      <c r="I8" s="388">
        <f>SUM(B8:H8)</f>
        <v>0</v>
      </c>
      <c r="J8" s="382"/>
      <c r="K8" s="383"/>
      <c r="L8" s="383"/>
      <c r="M8" s="383"/>
      <c r="N8" s="383"/>
      <c r="O8" s="383"/>
      <c r="P8" s="383"/>
      <c r="Q8" s="389">
        <f t="shared" si="3"/>
        <v>0</v>
      </c>
    </row>
    <row r="9" spans="1:18" s="73" customFormat="1" ht="35.1" customHeight="1" x14ac:dyDescent="0.2">
      <c r="A9" s="376" t="s">
        <v>84</v>
      </c>
      <c r="B9" s="377">
        <v>88765</v>
      </c>
      <c r="C9" s="378">
        <v>13016</v>
      </c>
      <c r="D9" s="378">
        <v>238174</v>
      </c>
      <c r="E9" s="378"/>
      <c r="F9" s="378"/>
      <c r="G9" s="378">
        <f>4300-4300</f>
        <v>0</v>
      </c>
      <c r="H9" s="378"/>
      <c r="I9" s="387">
        <f>SUM(B9:H9)</f>
        <v>339955</v>
      </c>
      <c r="J9" s="377">
        <v>95298</v>
      </c>
      <c r="K9" s="378">
        <v>14323</v>
      </c>
      <c r="L9" s="378">
        <v>265213</v>
      </c>
      <c r="M9" s="378">
        <v>14012</v>
      </c>
      <c r="N9" s="378"/>
      <c r="O9" s="378">
        <v>9620</v>
      </c>
      <c r="P9" s="378">
        <v>1359</v>
      </c>
      <c r="Q9" s="380">
        <f>SUM(J9:P9)</f>
        <v>399825</v>
      </c>
    </row>
    <row r="10" spans="1:18" ht="21" customHeight="1" x14ac:dyDescent="0.2">
      <c r="A10" s="381" t="s">
        <v>174</v>
      </c>
      <c r="B10" s="382">
        <f>B9-B11</f>
        <v>88765</v>
      </c>
      <c r="C10" s="383">
        <f>C9-C11</f>
        <v>13016</v>
      </c>
      <c r="D10" s="383">
        <f t="shared" ref="D10:E10" si="4">D9-D11</f>
        <v>233174</v>
      </c>
      <c r="E10" s="383">
        <f t="shared" si="4"/>
        <v>0</v>
      </c>
      <c r="F10" s="383"/>
      <c r="G10" s="383"/>
      <c r="H10" s="383"/>
      <c r="I10" s="388">
        <f>SUM(B10:H10)</f>
        <v>334955</v>
      </c>
      <c r="J10" s="382">
        <f>J9-J11</f>
        <v>95298</v>
      </c>
      <c r="K10" s="383">
        <f>K9-K11</f>
        <v>14323</v>
      </c>
      <c r="L10" s="383">
        <f>L9-L11</f>
        <v>260213</v>
      </c>
      <c r="M10" s="383">
        <f t="shared" ref="M10:P10" si="5">M9-M11</f>
        <v>14012</v>
      </c>
      <c r="N10" s="383">
        <f t="shared" si="5"/>
        <v>0</v>
      </c>
      <c r="O10" s="383">
        <f t="shared" si="5"/>
        <v>9620</v>
      </c>
      <c r="P10" s="383">
        <f t="shared" si="5"/>
        <v>1359</v>
      </c>
      <c r="Q10" s="389">
        <f t="shared" si="3"/>
        <v>394825</v>
      </c>
    </row>
    <row r="11" spans="1:18" ht="21" customHeight="1" x14ac:dyDescent="0.2">
      <c r="A11" s="381" t="s">
        <v>173</v>
      </c>
      <c r="B11" s="382"/>
      <c r="C11" s="383"/>
      <c r="D11" s="383">
        <v>5000</v>
      </c>
      <c r="E11" s="383"/>
      <c r="F11" s="383"/>
      <c r="G11" s="383"/>
      <c r="H11" s="383"/>
      <c r="I11" s="388">
        <f>SUM(B11:H11)</f>
        <v>5000</v>
      </c>
      <c r="J11" s="382"/>
      <c r="K11" s="383"/>
      <c r="L11" s="383">
        <v>5000</v>
      </c>
      <c r="M11" s="383"/>
      <c r="N11" s="383"/>
      <c r="O11" s="383"/>
      <c r="P11" s="383"/>
      <c r="Q11" s="389">
        <f t="shared" si="3"/>
        <v>5000</v>
      </c>
    </row>
    <row r="12" spans="1:18" s="73" customFormat="1" ht="35.1" customHeight="1" x14ac:dyDescent="0.2">
      <c r="A12" s="376" t="s">
        <v>87</v>
      </c>
      <c r="B12" s="377">
        <v>21624</v>
      </c>
      <c r="C12" s="378">
        <v>2923</v>
      </c>
      <c r="D12" s="378">
        <v>17564</v>
      </c>
      <c r="E12" s="378"/>
      <c r="F12" s="378"/>
      <c r="G12" s="378">
        <f>7223-7223</f>
        <v>0</v>
      </c>
      <c r="H12" s="378"/>
      <c r="I12" s="387">
        <f>SUM(B12:H12)</f>
        <v>42111</v>
      </c>
      <c r="J12" s="377">
        <v>21421</v>
      </c>
      <c r="K12" s="378">
        <v>3039</v>
      </c>
      <c r="L12" s="378">
        <v>20512</v>
      </c>
      <c r="M12" s="378">
        <v>642</v>
      </c>
      <c r="N12" s="378"/>
      <c r="O12" s="378">
        <v>233</v>
      </c>
      <c r="P12" s="378"/>
      <c r="Q12" s="380">
        <f>SUM(J12:P12)</f>
        <v>45847</v>
      </c>
    </row>
    <row r="13" spans="1:18" ht="21" customHeight="1" x14ac:dyDescent="0.2">
      <c r="A13" s="381" t="s">
        <v>174</v>
      </c>
      <c r="B13" s="382"/>
      <c r="C13" s="383"/>
      <c r="D13" s="383"/>
      <c r="E13" s="383"/>
      <c r="F13" s="383"/>
      <c r="G13" s="383"/>
      <c r="H13" s="383"/>
      <c r="I13" s="390"/>
      <c r="J13" s="382"/>
      <c r="K13" s="383"/>
      <c r="L13" s="383"/>
      <c r="M13" s="383"/>
      <c r="N13" s="383"/>
      <c r="O13" s="383"/>
      <c r="P13" s="383"/>
      <c r="Q13" s="391">
        <f t="shared" si="3"/>
        <v>0</v>
      </c>
    </row>
    <row r="14" spans="1:18" ht="21" customHeight="1" x14ac:dyDescent="0.2">
      <c r="A14" s="381" t="s">
        <v>173</v>
      </c>
      <c r="B14" s="382">
        <f>B12-B13</f>
        <v>21624</v>
      </c>
      <c r="C14" s="383">
        <f>C12-C13</f>
        <v>2923</v>
      </c>
      <c r="D14" s="383">
        <f>D12-D13</f>
        <v>17564</v>
      </c>
      <c r="E14" s="383"/>
      <c r="F14" s="383"/>
      <c r="G14" s="383"/>
      <c r="H14" s="383"/>
      <c r="I14" s="392">
        <f>SUM(B14:H14)</f>
        <v>42111</v>
      </c>
      <c r="J14" s="382">
        <f>J12-J13</f>
        <v>21421</v>
      </c>
      <c r="K14" s="383">
        <f>K12-K13</f>
        <v>3039</v>
      </c>
      <c r="L14" s="383">
        <f t="shared" ref="L14:M14" si="6">L12-L13</f>
        <v>20512</v>
      </c>
      <c r="M14" s="383">
        <f t="shared" si="6"/>
        <v>642</v>
      </c>
      <c r="N14" s="383"/>
      <c r="O14" s="383">
        <f>O12-O13</f>
        <v>233</v>
      </c>
      <c r="P14" s="383">
        <f>P12-P13</f>
        <v>0</v>
      </c>
      <c r="Q14" s="389">
        <f t="shared" si="3"/>
        <v>45847</v>
      </c>
    </row>
    <row r="15" spans="1:18" s="73" customFormat="1" ht="35.1" customHeight="1" x14ac:dyDescent="0.2">
      <c r="A15" s="376" t="s">
        <v>60</v>
      </c>
      <c r="B15" s="377">
        <f>'8c-PH-i feladatok'!C20+'12-Külön keretek'!C38-224</f>
        <v>378713</v>
      </c>
      <c r="C15" s="378">
        <f>'8c-PH-i feladatok'!D20+224</f>
        <v>54341</v>
      </c>
      <c r="D15" s="378">
        <f>'8c-PH-i feladatok'!E20+'12-Külön keretek'!C37</f>
        <v>84638</v>
      </c>
      <c r="E15" s="378"/>
      <c r="F15" s="378"/>
      <c r="G15" s="378">
        <f>SUM(G16:G18)</f>
        <v>12950</v>
      </c>
      <c r="H15" s="378">
        <f>SUM(H16:H18)</f>
        <v>500</v>
      </c>
      <c r="I15" s="378">
        <f>SUM(B15:H15)</f>
        <v>531142</v>
      </c>
      <c r="J15" s="393">
        <f>'8c-PH-i feladatok'!J20+'12-Külön keretek'!D41-67-150</f>
        <v>425094</v>
      </c>
      <c r="K15" s="378">
        <f>'8c-PH-i feladatok'!K20+67</f>
        <v>60249</v>
      </c>
      <c r="L15" s="378">
        <f>'8c-PH-i feladatok'!L20+150</f>
        <v>90647</v>
      </c>
      <c r="M15" s="378">
        <f>'8c-PH-i feladatok'!M20</f>
        <v>17458</v>
      </c>
      <c r="N15" s="378"/>
      <c r="O15" s="378">
        <f>SUM(O16:O18)</f>
        <v>14262</v>
      </c>
      <c r="P15" s="378">
        <f>SUM(P16:P18)</f>
        <v>9516</v>
      </c>
      <c r="Q15" s="380">
        <f>SUM(J15:P15)</f>
        <v>617226</v>
      </c>
      <c r="R15" s="74"/>
    </row>
    <row r="16" spans="1:18" ht="21" customHeight="1" x14ac:dyDescent="0.2">
      <c r="A16" s="381" t="s">
        <v>174</v>
      </c>
      <c r="B16" s="382">
        <f>305402</f>
        <v>305402</v>
      </c>
      <c r="C16" s="383">
        <f>'8c-PH-i feladatok'!D20-'8c-PH-i feladatok'!D4-'8c-PH-i feladatok'!D8-'8c-PH-i feladatok'!D9</f>
        <v>50770</v>
      </c>
      <c r="D16" s="383">
        <f>'8c-PH-i feladatok'!E20-'8c-PH-i feladatok'!E4-'8c-PH-i feladatok'!E8-'8c-PH-i feladatok'!E9+'12-Külön keretek'!C37</f>
        <v>82638</v>
      </c>
      <c r="E16" s="383"/>
      <c r="F16" s="383"/>
      <c r="G16" s="383">
        <v>12950</v>
      </c>
      <c r="H16" s="383">
        <v>500</v>
      </c>
      <c r="I16" s="394">
        <f>SUM(B16:H16)</f>
        <v>452260</v>
      </c>
      <c r="J16" s="395">
        <f>J15-J17-J18</f>
        <v>383171</v>
      </c>
      <c r="K16" s="396">
        <f t="shared" ref="K16:L16" si="7">K15-K17-K18</f>
        <v>54768</v>
      </c>
      <c r="L16" s="396">
        <f t="shared" si="7"/>
        <v>88352</v>
      </c>
      <c r="M16" s="396"/>
      <c r="N16" s="396"/>
      <c r="O16" s="396">
        <f>'8c-PH-i feladatok'!O20</f>
        <v>14262</v>
      </c>
      <c r="P16" s="397">
        <f>'8c-PH-i feladatok'!P20</f>
        <v>9516</v>
      </c>
      <c r="Q16" s="389">
        <f t="shared" si="3"/>
        <v>550069</v>
      </c>
    </row>
    <row r="17" spans="1:17" ht="21" customHeight="1" x14ac:dyDescent="0.2">
      <c r="A17" s="381" t="s">
        <v>173</v>
      </c>
      <c r="B17" s="398">
        <f>'8c-PH-i feladatok'!C4</f>
        <v>18857</v>
      </c>
      <c r="C17" s="399">
        <f>'8c-PH-i feladatok'!D4</f>
        <v>2471</v>
      </c>
      <c r="D17" s="399">
        <f>'8c-PH-i feladatok'!E4</f>
        <v>500</v>
      </c>
      <c r="E17" s="399"/>
      <c r="F17" s="399"/>
      <c r="G17" s="399"/>
      <c r="H17" s="400"/>
      <c r="I17" s="394">
        <f t="shared" ref="I17:I18" si="8">SUM(B17:H17)</f>
        <v>21828</v>
      </c>
      <c r="J17" s="401">
        <f>'8c-PH-i feladatok'!J4</f>
        <v>18857</v>
      </c>
      <c r="K17" s="402">
        <f>'8c-PH-i feladatok'!K4</f>
        <v>2471</v>
      </c>
      <c r="L17" s="402">
        <f>'8c-PH-i feladatok'!L4</f>
        <v>380</v>
      </c>
      <c r="M17" s="402">
        <f>'8c-PH-i feladatok'!M4</f>
        <v>0</v>
      </c>
      <c r="N17" s="402"/>
      <c r="O17" s="396"/>
      <c r="P17" s="397"/>
      <c r="Q17" s="389">
        <f t="shared" si="3"/>
        <v>21708</v>
      </c>
    </row>
    <row r="18" spans="1:17" ht="21" customHeight="1" x14ac:dyDescent="0.2">
      <c r="A18" s="381" t="s">
        <v>175</v>
      </c>
      <c r="B18" s="382">
        <f>'8c-PH-i feladatok'!C8+'8c-PH-i feladatok'!C9</f>
        <v>6652</v>
      </c>
      <c r="C18" s="383">
        <f>'8c-PH-i feladatok'!D8++'8c-PH-i feladatok'!D9</f>
        <v>876</v>
      </c>
      <c r="D18" s="383">
        <f>'8c-PH-i feladatok'!E8+'8c-PH-i feladatok'!E9</f>
        <v>1500</v>
      </c>
      <c r="E18" s="383"/>
      <c r="F18" s="383"/>
      <c r="G18" s="383"/>
      <c r="H18" s="383"/>
      <c r="I18" s="403">
        <f t="shared" si="8"/>
        <v>9028</v>
      </c>
      <c r="J18" s="401">
        <f>'8c-PH-i feladatok'!J8+'8c-PH-i feladatok'!J9+'8c-PH-i feladatok'!J17</f>
        <v>23066</v>
      </c>
      <c r="K18" s="402">
        <f>'8c-PH-i feladatok'!K8+'8c-PH-i feladatok'!K9+'8c-PH-i feladatok'!K17</f>
        <v>3010</v>
      </c>
      <c r="L18" s="402">
        <f>'8c-PH-i feladatok'!L8+'8c-PH-i feladatok'!L9+'8c-PH-i feladatok'!L17</f>
        <v>1915</v>
      </c>
      <c r="M18" s="402">
        <f>'8c-PH-i feladatok'!M8+'8c-PH-i feladatok'!M9</f>
        <v>0</v>
      </c>
      <c r="N18" s="402"/>
      <c r="O18" s="402"/>
      <c r="P18" s="404"/>
      <c r="Q18" s="389">
        <f t="shared" si="3"/>
        <v>27991</v>
      </c>
    </row>
    <row r="19" spans="1:17" ht="35.1" customHeight="1" x14ac:dyDescent="0.2">
      <c r="A19" s="405" t="s">
        <v>309</v>
      </c>
      <c r="B19" s="377">
        <v>160482</v>
      </c>
      <c r="C19" s="378">
        <v>24612</v>
      </c>
      <c r="D19" s="378">
        <v>23312</v>
      </c>
      <c r="E19" s="378"/>
      <c r="F19" s="378"/>
      <c r="G19" s="378">
        <f>1016-1016</f>
        <v>0</v>
      </c>
      <c r="H19" s="378"/>
      <c r="I19" s="406">
        <f t="shared" ref="I19:I23" si="9">SUM(B19:H19)</f>
        <v>208406</v>
      </c>
      <c r="J19" s="407">
        <v>166014</v>
      </c>
      <c r="K19" s="408">
        <v>25933</v>
      </c>
      <c r="L19" s="408">
        <v>24632</v>
      </c>
      <c r="M19" s="408">
        <v>1280</v>
      </c>
      <c r="N19" s="408"/>
      <c r="O19" s="408">
        <v>760</v>
      </c>
      <c r="P19" s="408">
        <v>338</v>
      </c>
      <c r="Q19" s="409">
        <f>SUM(J19:P19)</f>
        <v>218957</v>
      </c>
    </row>
    <row r="20" spans="1:17" ht="21" customHeight="1" x14ac:dyDescent="0.2">
      <c r="A20" s="381" t="s">
        <v>174</v>
      </c>
      <c r="B20" s="382">
        <f>B19-B21</f>
        <v>160287</v>
      </c>
      <c r="C20" s="383">
        <f>C19-C21</f>
        <v>24587</v>
      </c>
      <c r="D20" s="383">
        <f t="shared" ref="D20:H20" si="10">D19-D21</f>
        <v>22907</v>
      </c>
      <c r="E20" s="383">
        <f t="shared" si="10"/>
        <v>0</v>
      </c>
      <c r="F20" s="383">
        <f t="shared" si="10"/>
        <v>0</v>
      </c>
      <c r="G20" s="383">
        <f t="shared" si="10"/>
        <v>0</v>
      </c>
      <c r="H20" s="383">
        <f t="shared" si="10"/>
        <v>0</v>
      </c>
      <c r="I20" s="388">
        <f t="shared" si="9"/>
        <v>207781</v>
      </c>
      <c r="J20" s="382">
        <f>J19-J21</f>
        <v>165819</v>
      </c>
      <c r="K20" s="383">
        <f>K19-K21</f>
        <v>25908</v>
      </c>
      <c r="L20" s="383">
        <f t="shared" ref="L20:P20" si="11">L19-L21</f>
        <v>24227</v>
      </c>
      <c r="M20" s="383">
        <f t="shared" si="11"/>
        <v>1280</v>
      </c>
      <c r="N20" s="383">
        <f t="shared" si="11"/>
        <v>0</v>
      </c>
      <c r="O20" s="383">
        <f t="shared" si="11"/>
        <v>760</v>
      </c>
      <c r="P20" s="383">
        <f t="shared" si="11"/>
        <v>338</v>
      </c>
      <c r="Q20" s="389">
        <f t="shared" si="3"/>
        <v>218332</v>
      </c>
    </row>
    <row r="21" spans="1:17" ht="21" customHeight="1" x14ac:dyDescent="0.2">
      <c r="A21" s="381" t="s">
        <v>177</v>
      </c>
      <c r="B21" s="382">
        <v>195</v>
      </c>
      <c r="C21" s="383">
        <v>25</v>
      </c>
      <c r="D21" s="383">
        <v>405</v>
      </c>
      <c r="E21" s="383"/>
      <c r="F21" s="383"/>
      <c r="G21" s="383"/>
      <c r="H21" s="383"/>
      <c r="I21" s="388">
        <f t="shared" si="9"/>
        <v>625</v>
      </c>
      <c r="J21" s="382">
        <v>195</v>
      </c>
      <c r="K21" s="383">
        <v>25</v>
      </c>
      <c r="L21" s="383">
        <v>405</v>
      </c>
      <c r="M21" s="383"/>
      <c r="N21" s="383"/>
      <c r="O21" s="383"/>
      <c r="P21" s="383"/>
      <c r="Q21" s="389">
        <f t="shared" si="3"/>
        <v>625</v>
      </c>
    </row>
    <row r="22" spans="1:17" ht="35.1" customHeight="1" x14ac:dyDescent="0.2">
      <c r="A22" s="405" t="s">
        <v>176</v>
      </c>
      <c r="B22" s="377">
        <f>25714+790</f>
        <v>26504</v>
      </c>
      <c r="C22" s="378">
        <f>3550+108</f>
        <v>3658</v>
      </c>
      <c r="D22" s="378">
        <f>9015+17044-2000</f>
        <v>24059</v>
      </c>
      <c r="E22" s="378"/>
      <c r="F22" s="378"/>
      <c r="G22" s="378">
        <f>10541-10541</f>
        <v>0</v>
      </c>
      <c r="H22" s="378"/>
      <c r="I22" s="406">
        <f t="shared" si="9"/>
        <v>54221</v>
      </c>
      <c r="J22" s="407">
        <v>33211</v>
      </c>
      <c r="K22" s="408">
        <v>4497</v>
      </c>
      <c r="L22" s="408">
        <v>26523</v>
      </c>
      <c r="M22" s="408">
        <v>2382</v>
      </c>
      <c r="N22" s="408"/>
      <c r="O22" s="408">
        <v>13681</v>
      </c>
      <c r="P22" s="408"/>
      <c r="Q22" s="409">
        <f>SUM(J22:P22)</f>
        <v>80294</v>
      </c>
    </row>
    <row r="23" spans="1:17" ht="51.75" customHeight="1" x14ac:dyDescent="0.2">
      <c r="A23" s="405" t="s">
        <v>311</v>
      </c>
      <c r="B23" s="377">
        <f>276776+4345</f>
        <v>281121</v>
      </c>
      <c r="C23" s="378">
        <f>45204+565</f>
        <v>45769</v>
      </c>
      <c r="D23" s="378">
        <v>381316</v>
      </c>
      <c r="E23" s="378"/>
      <c r="F23" s="378"/>
      <c r="G23" s="378">
        <f>6134-6134</f>
        <v>0</v>
      </c>
      <c r="H23" s="378"/>
      <c r="I23" s="406">
        <f t="shared" si="9"/>
        <v>708206</v>
      </c>
      <c r="J23" s="407">
        <v>288150</v>
      </c>
      <c r="K23" s="408">
        <v>48742</v>
      </c>
      <c r="L23" s="408">
        <v>440407</v>
      </c>
      <c r="M23" s="408">
        <v>19149</v>
      </c>
      <c r="N23" s="408"/>
      <c r="O23" s="408">
        <v>5374</v>
      </c>
      <c r="P23" s="408">
        <v>3416</v>
      </c>
      <c r="Q23" s="409">
        <f>SUM(J23:P23)</f>
        <v>805238</v>
      </c>
    </row>
    <row r="24" spans="1:17" ht="21" customHeight="1" x14ac:dyDescent="0.2">
      <c r="A24" s="410" t="s">
        <v>339</v>
      </c>
      <c r="B24" s="411">
        <f>B23-B25</f>
        <v>269968</v>
      </c>
      <c r="C24" s="412">
        <f>C23-C25</f>
        <v>44319</v>
      </c>
      <c r="D24" s="412">
        <f t="shared" ref="D24:G24" si="12">D23-D25</f>
        <v>352333</v>
      </c>
      <c r="E24" s="412">
        <f t="shared" si="12"/>
        <v>0</v>
      </c>
      <c r="F24" s="412">
        <f t="shared" si="12"/>
        <v>0</v>
      </c>
      <c r="G24" s="412">
        <f t="shared" si="12"/>
        <v>0</v>
      </c>
      <c r="H24" s="412"/>
      <c r="I24" s="384">
        <f>SUM(B24:H24)</f>
        <v>666620</v>
      </c>
      <c r="J24" s="411">
        <f>J23-J25</f>
        <v>270361</v>
      </c>
      <c r="K24" s="412">
        <f>K23-K25</f>
        <v>46397</v>
      </c>
      <c r="L24" s="412">
        <f t="shared" ref="L24:P24" si="13">L23-L25</f>
        <v>395359</v>
      </c>
      <c r="M24" s="412">
        <f t="shared" si="13"/>
        <v>19149</v>
      </c>
      <c r="N24" s="412">
        <f t="shared" si="13"/>
        <v>0</v>
      </c>
      <c r="O24" s="412">
        <f t="shared" si="13"/>
        <v>2313</v>
      </c>
      <c r="P24" s="412">
        <f t="shared" si="13"/>
        <v>3416</v>
      </c>
      <c r="Q24" s="413">
        <f>SUM(J24:P24)</f>
        <v>736995</v>
      </c>
    </row>
    <row r="25" spans="1:17" ht="21" customHeight="1" x14ac:dyDescent="0.2">
      <c r="A25" s="381" t="s">
        <v>338</v>
      </c>
      <c r="B25" s="411">
        <v>11153</v>
      </c>
      <c r="C25" s="412">
        <v>1450</v>
      </c>
      <c r="D25" s="412">
        <v>28983</v>
      </c>
      <c r="E25" s="412"/>
      <c r="F25" s="412"/>
      <c r="G25" s="412"/>
      <c r="H25" s="412"/>
      <c r="I25" s="384">
        <f>SUM(B25:H25)</f>
        <v>41586</v>
      </c>
      <c r="J25" s="411">
        <v>17789</v>
      </c>
      <c r="K25" s="412">
        <v>2345</v>
      </c>
      <c r="L25" s="412">
        <v>45048</v>
      </c>
      <c r="M25" s="412"/>
      <c r="N25" s="412"/>
      <c r="O25" s="412">
        <v>3061</v>
      </c>
      <c r="P25" s="412"/>
      <c r="Q25" s="413">
        <f>SUM(J25:P25)</f>
        <v>68243</v>
      </c>
    </row>
    <row r="26" spans="1:17" s="1" customFormat="1" ht="30.75" customHeight="1" thickBot="1" x14ac:dyDescent="0.25">
      <c r="A26" s="414" t="s">
        <v>53</v>
      </c>
      <c r="B26" s="415">
        <f t="shared" ref="B26:H26" si="14">B3+B6++B9++B12+B15+B19+B22+B23</f>
        <v>2367332</v>
      </c>
      <c r="C26" s="416">
        <f t="shared" si="14"/>
        <v>354725</v>
      </c>
      <c r="D26" s="416">
        <f t="shared" si="14"/>
        <v>929769</v>
      </c>
      <c r="E26" s="416">
        <f t="shared" si="14"/>
        <v>0</v>
      </c>
      <c r="F26" s="416">
        <f t="shared" si="14"/>
        <v>0</v>
      </c>
      <c r="G26" s="416">
        <f t="shared" si="14"/>
        <v>15145</v>
      </c>
      <c r="H26" s="416">
        <f t="shared" si="14"/>
        <v>500</v>
      </c>
      <c r="I26" s="417">
        <f>SUM(B26:H26)</f>
        <v>3667471</v>
      </c>
      <c r="J26" s="415">
        <f>J3+J6++J9++J12++J15+J19++J22++J23</f>
        <v>2466597</v>
      </c>
      <c r="K26" s="416">
        <f t="shared" ref="K26:P26" si="15">K3++K6++K9+K12+K15+K19+K22+K23</f>
        <v>373263</v>
      </c>
      <c r="L26" s="416">
        <f>L3++L6++L9+L12+L15+L19+L22+L23</f>
        <v>1117494</v>
      </c>
      <c r="M26" s="416">
        <f t="shared" si="15"/>
        <v>61332</v>
      </c>
      <c r="N26" s="416">
        <f t="shared" si="15"/>
        <v>0</v>
      </c>
      <c r="O26" s="416">
        <f>O3++O6++O9+O12+O15+O19+O22+O23</f>
        <v>58985</v>
      </c>
      <c r="P26" s="416">
        <f t="shared" si="15"/>
        <v>14929</v>
      </c>
      <c r="Q26" s="418">
        <f>SUM(J26:P26)</f>
        <v>4092600</v>
      </c>
    </row>
    <row r="27" spans="1:17" ht="13.5" thickTop="1" x14ac:dyDescent="0.2"/>
    <row r="29" spans="1:17" x14ac:dyDescent="0.2">
      <c r="B29" s="14"/>
    </row>
  </sheetData>
  <mergeCells count="2">
    <mergeCell ref="B1:I1"/>
    <mergeCell ref="J1:Q1"/>
  </mergeCells>
  <phoneticPr fontId="0" type="noConversion"/>
  <printOptions horizontalCentered="1"/>
  <pageMargins left="0.39370078740157483" right="0.35433070866141736" top="1.0629921259842521" bottom="0.35433070866141736" header="0.51181102362204722" footer="0.19685039370078741"/>
  <pageSetup paperSize="8" scale="81" orientation="landscape" r:id="rId1"/>
  <headerFooter alignWithMargins="0">
    <oddHeader>&amp;C&amp;"Times New Roman CE,Félkövér"&amp;16Önkormányzati intézmények kiadásai 
kötelező, önként vállalt és államigazgatási feladatok szerinti bontásban&amp;"Times New Roman CE,Normál"&amp;18
&amp;11/ ezer Ft /&amp;R&amp;"Times New Roman,Normál"&amp;12 8/a. sz. melléklet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</vt:i4>
      </vt:variant>
    </vt:vector>
  </HeadingPairs>
  <TitlesOfParts>
    <vt:vector size="18" baseType="lpstr">
      <vt:lpstr>1-Mérleg</vt:lpstr>
      <vt:lpstr>1a-Intézmények bevétele</vt:lpstr>
      <vt:lpstr>2-Helyi adóbevételek</vt:lpstr>
      <vt:lpstr>3-Egyéb bevételek</vt:lpstr>
      <vt:lpstr>4-Átvett pe.</vt:lpstr>
      <vt:lpstr>5-Kp.-i tám.</vt:lpstr>
      <vt:lpstr>6-Normatíva </vt:lpstr>
      <vt:lpstr>7-Vagyonhasznositási bevétel</vt:lpstr>
      <vt:lpstr>8a-Intézmények kiadása</vt:lpstr>
      <vt:lpstr>8c-PH-i feladatok</vt:lpstr>
      <vt:lpstr>8b-ÖK-i feladatok</vt:lpstr>
      <vt:lpstr>9-Városüzemeltetés</vt:lpstr>
      <vt:lpstr>10-Szociálpolitikai kiadások</vt:lpstr>
      <vt:lpstr>11-Pénzátadás</vt:lpstr>
      <vt:lpstr>12-Külön keretek</vt:lpstr>
      <vt:lpstr>13-Beruházások</vt:lpstr>
      <vt:lpstr>14-Felújítások</vt:lpstr>
      <vt:lpstr>'2-Helyi adóbevételek'!Nyomtatási_terület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Költségvetes 1995</dc:title>
  <dc:subject>1995 évi költségvetés tervezése</dc:subject>
  <dc:creator>Hajdúszoboszló Városi Önkormán</dc:creator>
  <cp:lastModifiedBy>Dr. Morvai Gábor</cp:lastModifiedBy>
  <cp:lastPrinted>2022-12-05T08:17:14Z</cp:lastPrinted>
  <dcterms:created xsi:type="dcterms:W3CDTF">1998-01-22T07:40:57Z</dcterms:created>
  <dcterms:modified xsi:type="dcterms:W3CDTF">2022-12-06T15:00:41Z</dcterms:modified>
</cp:coreProperties>
</file>